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6105" activeTab="1"/>
  </bookViews>
  <sheets>
    <sheet name="árkalktábla" sheetId="1" r:id="rId1"/>
    <sheet name="mellékletek" sheetId="2" r:id="rId2"/>
    <sheet name="Díjváltozás" sheetId="3" r:id="rId3"/>
    <sheet name="DÍJVÁLTÁFÁS" sheetId="4" r:id="rId4"/>
    <sheet name="ktgtábla" sheetId="5" r:id="rId5"/>
    <sheet name="Egyedi gázfűt" sheetId="6" r:id="rId6"/>
    <sheet name="Átlaggázdíj számítás" sheetId="7" r:id="rId7"/>
  </sheets>
  <externalReferences>
    <externalReference r:id="rId10"/>
  </externalReferences>
  <definedNames>
    <definedName name="adminbér">'mellékletek'!#REF!</definedName>
    <definedName name="alapdíjarány">'mellékletek'!$N$47</definedName>
    <definedName name="áltgázár">'mellékletek'!$N$23</definedName>
    <definedName name="bányaGJ">'mellékletek'!$Q$83</definedName>
    <definedName name="bányaösszeg">'mellékletek'!$N$85</definedName>
    <definedName name="bányaszázalék">'mellékletek'!$N$10</definedName>
    <definedName name="bérjár2">'mellékletek'!#REF!</definedName>
    <definedName name="bérjárulék">'mellékletek'!$N$13</definedName>
    <definedName name="díjbeszbér">'mellékletek'!#REF!</definedName>
    <definedName name="egyébtermálarány">'mellékletek'!$N$44</definedName>
    <definedName name="fizetőlm3">'mellékletek'!$N$39</definedName>
    <definedName name="földgázdíj">'mellékletek'!$Q$108</definedName>
    <definedName name="fűtalapdíj">'mellékletek'!$O$205</definedName>
    <definedName name="fűtésköltsarány">'mellékletek'!$N$45</definedName>
    <definedName name="fűthődíj">'mellékletek'!#REF!</definedName>
    <definedName name="fűtőkbére">'mellékletek'!#REF!</definedName>
    <definedName name="gázérték">'mellékletek'!$N$26</definedName>
    <definedName name="gázGJ">'mellékletek'!$M$106</definedName>
    <definedName name="gázköltség">'mellékletek'!$Q$113</definedName>
    <definedName name="gázm3">'mellékletek'!$Q$104</definedName>
    <definedName name="gázszorzó">'mellékletek'!$N$25</definedName>
    <definedName name="hatásfok">'mellékletek'!#REF!</definedName>
    <definedName name="házgázár">'mellékletek'!$N$20</definedName>
    <definedName name="hmvalapdíj">'mellékletek'!$O$213</definedName>
    <definedName name="hmvhődíj">'mellékletek'!$O$215</definedName>
    <definedName name="hmvköltsarány">'mellékletek'!$N$46</definedName>
    <definedName name="hmvm3">'mellékletek'!$N$40</definedName>
    <definedName name="hődíjarány">'mellékletek'!$N$48</definedName>
    <definedName name="közüzemigáz">'mellékletek'!$N$24</definedName>
    <definedName name="kútanyag">'mellékletek'!$N$37</definedName>
    <definedName name="óradíj">'mellékletek'!$N$17</definedName>
    <definedName name="összesbér">'mellékletek'!$N$12</definedName>
    <definedName name="összesktsg1">'árkalktábla'!$J$28</definedName>
    <definedName name="összesktsg2">'árkalktábla'!$N$28</definedName>
    <definedName name="ráfordit">'mellékletek'!$N$21</definedName>
    <definedName name="személyi">'mellékletek'!$N$14</definedName>
    <definedName name="szolgáltat">'mellékletek'!$N$38</definedName>
    <definedName name="teldíj">'mellékletek'!$N$22</definedName>
    <definedName name="termálár">'mellékletek'!$O$225</definedName>
    <definedName name="termálárGJ">'mellékletek'!$O$227</definedName>
    <definedName name="termálbér">'mellékletek'!$O$150</definedName>
    <definedName name="TermálGJ">'mellékletek'!$Q$80</definedName>
    <definedName name="termálm3">'mellékletek'!#REF!</definedName>
    <definedName name="termálnyereség">'mellékletek'!$N$42</definedName>
    <definedName name="termammort">'mellékletek'!$N$19</definedName>
    <definedName name="termbér">'mellékletek'!$O$150</definedName>
    <definedName name="termvillár">'mellékletek'!$N$33</definedName>
    <definedName name="termvilldíj">'mellékletek'!$Q$97</definedName>
    <definedName name="tömbammort">'mellékletek'!$N$18</definedName>
    <definedName name="tömbanyag">'mellékletek'!$N$36</definedName>
    <definedName name="tömbárGJ">'mellékletek'!$O$217</definedName>
    <definedName name="tömbnyereség">'mellékletek'!$N$41</definedName>
    <definedName name="tömbtermarány">'mellékletek'!$N$43</definedName>
    <definedName name="tömbvillár">'mellékletek'!$N$32</definedName>
    <definedName name="tömbvilldíj">'mellékletek'!$Q$96</definedName>
    <definedName name="üzemiált">'mellékletek'!$N$15</definedName>
    <definedName name="vállált">'mellékletek'!$N$16</definedName>
    <definedName name="vezetőbér">'mellékletek'!#REF!</definedName>
    <definedName name="vizkészletdíj">'mellékletek'!$Q$72</definedName>
    <definedName name="vkj">'mellékletek'!$N$9</definedName>
  </definedNames>
  <calcPr fullCalcOnLoad="1"/>
</workbook>
</file>

<file path=xl/comments1.xml><?xml version="1.0" encoding="utf-8"?>
<comments xmlns="http://schemas.openxmlformats.org/spreadsheetml/2006/main">
  <authors>
    <author>Egy el?gedett Microsoft Office felhaszn?l?</author>
    <author>Műszak</author>
  </authors>
  <commentList>
    <comment ref="N13" authorId="0">
      <text>
        <r>
          <rPr>
            <sz val="8"/>
            <rFont val="Tahoma"/>
            <family val="0"/>
          </rPr>
          <t>Az elmúlt 5 év termálvízfelhasználás átlagos mennyiségének a jogszabályi díjjal számított értéke
Melléklet : 2. sz.</t>
        </r>
      </text>
    </comment>
    <comment ref="N14" authorId="0">
      <text>
        <r>
          <rPr>
            <sz val="8"/>
            <rFont val="Tahoma"/>
            <family val="0"/>
          </rPr>
          <t>Az elmúlt 5 év termálvízkitermelésének átlagmennyisége a jogszabályi díjjal számolt mértéke. Melléklet : 3. sz.</t>
        </r>
      </text>
    </comment>
    <comment ref="N15" authorId="0">
      <text>
        <r>
          <rPr>
            <sz val="8"/>
            <rFont val="Tahoma"/>
            <family val="0"/>
          </rPr>
          <t>A termálrendszerben üzemelő villamos berendezések beépített teljesítménye és az üzemelési idővel számított értéke
Melléklet : 4. sz</t>
        </r>
      </text>
    </comment>
    <comment ref="N19" authorId="0">
      <text>
        <r>
          <rPr>
            <sz val="8"/>
            <rFont val="Tahoma"/>
            <family val="0"/>
          </rPr>
          <t>A termálrendszer kalkulált anyagráfordítása melyet az üzemi általános nem tartalmaz.  Melléklet : 7. sz.</t>
        </r>
      </text>
    </comment>
    <comment ref="N21" authorId="0">
      <text>
        <r>
          <rPr>
            <sz val="8"/>
            <rFont val="Tahoma"/>
            <family val="0"/>
          </rPr>
          <t>A termálrendszerre tervezett bér összege , a rendszeres üzemellenőrzés , a tervezett karbantartás és a részleg rezsi óradíjának a szorzata. (Ebben csak a fűtők teljes bérének és az üzemvezető bérének meghatározott (80 %) része szerepel)  Melléklet : 8. sz.</t>
        </r>
      </text>
    </comment>
    <comment ref="N22" authorId="0">
      <text>
        <r>
          <rPr>
            <sz val="8"/>
            <rFont val="Tahoma"/>
            <family val="0"/>
          </rPr>
          <t>A termálrendszerre osztott bér a törvényes bérjárulékaival számított összege. Melléklet : 8. sz.</t>
        </r>
      </text>
    </comment>
    <comment ref="N25" authorId="0">
      <text>
        <r>
          <rPr>
            <sz val="8"/>
            <rFont val="Tahoma"/>
            <family val="0"/>
          </rPr>
          <t>A KFT üzemiáltalános költségeinek hőszolgáltatásra osztott költségének bérarányos része (termálbér/összesbér)  Melléklet : 9. sz.</t>
        </r>
      </text>
    </comment>
    <comment ref="N26" authorId="0">
      <text>
        <r>
          <rPr>
            <sz val="8"/>
            <rFont val="Tahoma"/>
            <family val="0"/>
          </rPr>
          <t>A KFT vállalati általános költségeinek a hőszolgáltatásra osztott bérarányos része (termálbér/összesbér) Melléklet : 10. sz.</t>
        </r>
      </text>
    </comment>
    <comment ref="N27" authorId="0">
      <text>
        <r>
          <rPr>
            <sz val="8"/>
            <rFont val="Tahoma"/>
            <family val="0"/>
          </rPr>
          <t xml:space="preserve">A termálrendszer összes költségének a nyereségszoróval számított összege. Melléklet : 11. sz </t>
        </r>
      </text>
    </comment>
    <comment ref="F28" authorId="0">
      <text>
        <r>
          <rPr>
            <sz val="8"/>
            <rFont val="Tahoma"/>
            <family val="0"/>
          </rPr>
          <t>A tömbfűtő ,  a termálrendszer tömbfűtőre eső és a termálrendszer egyéb fogyasztóira eső költség</t>
        </r>
      </text>
    </comment>
    <comment ref="H28" authorId="0">
      <text>
        <r>
          <rPr>
            <sz val="8"/>
            <rFont val="Tahoma"/>
            <family val="0"/>
          </rPr>
          <t xml:space="preserve">Csak a tömbfűtőnél jelentkező költségek és az ide osztódó költségek
</t>
        </r>
      </text>
    </comment>
    <comment ref="I28" authorId="0">
      <text>
        <r>
          <rPr>
            <sz val="8"/>
            <rFont val="Tahoma"/>
            <family val="0"/>
          </rPr>
          <t>A termálrendszer költségeiből a termálvíz fogyasztás aránya szerint a tömbfűtőre osztott költség</t>
        </r>
      </text>
    </comment>
    <comment ref="J28" authorId="0">
      <text>
        <r>
          <rPr>
            <sz val="8"/>
            <rFont val="Tahoma"/>
            <family val="0"/>
          </rPr>
          <t>A tömbfűtőműhöz kapcsolt fogyasztók összes költsége</t>
        </r>
      </text>
    </comment>
    <comment ref="M28" authorId="0">
      <text>
        <r>
          <rPr>
            <sz val="8"/>
            <rFont val="Tahoma"/>
            <family val="0"/>
          </rPr>
          <t>A termálrendszer vízfogyasztással arányos az egyéb fogyasztókra osztott költség</t>
        </r>
      </text>
    </comment>
    <comment ref="N28" authorId="0">
      <text>
        <r>
          <rPr>
            <sz val="8"/>
            <rFont val="Tahoma"/>
            <family val="0"/>
          </rPr>
          <t>A termálrendszer összes költsége amely osztandója a termálvíz mennyiségnek. Melléklet : 12. sz.</t>
        </r>
      </text>
    </comment>
    <comment ref="N18" authorId="1">
      <text>
        <r>
          <rPr>
            <sz val="8"/>
            <rFont val="Tahoma"/>
            <family val="0"/>
          </rPr>
          <t xml:space="preserve">A kút tulajdonosa által meghatározott összeg
7. Sz. melléklet
</t>
        </r>
      </text>
    </comment>
  </commentList>
</comments>
</file>

<file path=xl/comments2.xml><?xml version="1.0" encoding="utf-8"?>
<comments xmlns="http://schemas.openxmlformats.org/spreadsheetml/2006/main">
  <authors>
    <author>Egy el?gedett Microsoft Office felhaszn?l?</author>
    <author>Műszak</author>
    <author>VVK</author>
  </authors>
  <commentList>
    <comment ref="N7" authorId="0">
      <text>
        <r>
          <rPr>
            <sz val="8"/>
            <rFont val="Tahoma"/>
            <family val="0"/>
          </rPr>
          <t>Az elmúlt 5 év vízkitermelésének átlaga</t>
        </r>
      </text>
    </comment>
    <comment ref="N8" authorId="0">
      <text>
        <r>
          <rPr>
            <sz val="8"/>
            <rFont val="Tahoma"/>
            <family val="0"/>
          </rPr>
          <t xml:space="preserve">A termálvíz induló átlagos hőmérséklet és a Tiszába ömlő érkező átlagos hőmérséklet különbség , az éves mennyiséggel számolt hőtartalma (72-30 °C) </t>
        </r>
      </text>
    </comment>
    <comment ref="N9" authorId="0">
      <text>
        <r>
          <rPr>
            <sz val="8"/>
            <rFont val="Tahoma"/>
            <family val="0"/>
          </rPr>
          <t>A törvény által meghatározott vízkészlet alapjárulék és a G szorzó (7,5) mindenkori szorzata. (ha nincs a termlálvízből más jellegű hasznosítás vagy visszasajtolás).</t>
        </r>
      </text>
    </comment>
    <comment ref="N10" authorId="0">
      <text>
        <r>
          <rPr>
            <sz val="8"/>
            <rFont val="Tahoma"/>
            <family val="0"/>
          </rPr>
          <t>A törvény által meghatározott mérték.</t>
        </r>
      </text>
    </comment>
    <comment ref="N11" authorId="0">
      <text>
        <r>
          <rPr>
            <sz val="8"/>
            <rFont val="Tahoma"/>
            <family val="0"/>
          </rPr>
          <t>A kitermelt termálvíz hőtartalma (73-30 °C , éves mennyiség ),a mindenkori háztartási célú földgáz egységárának és a bányajáradék mértéke tényezőknek a szorzata.</t>
        </r>
      </text>
    </comment>
    <comment ref="N43" authorId="0">
      <text>
        <r>
          <rPr>
            <sz val="8"/>
            <rFont val="Tahoma"/>
            <family val="0"/>
          </rPr>
          <t xml:space="preserve">Az elsődleges termálvízhasználók vízóra alapján meghatározott fogyasztási aránya. </t>
        </r>
      </text>
    </comment>
    <comment ref="N44" authorId="0">
      <text>
        <r>
          <rPr>
            <sz val="8"/>
            <rFont val="Tahoma"/>
            <family val="0"/>
          </rPr>
          <t>Az elsődleges termálvízhasználók vízóra alapján meghatározott fogyasztási aránya. (Sághy , EgüI)</t>
        </r>
      </text>
    </comment>
    <comment ref="N13" authorId="0">
      <text>
        <r>
          <rPr>
            <sz val="8"/>
            <rFont val="Tahoma"/>
            <family val="0"/>
          </rPr>
          <t>A bér törvényben meghatározott járuléka</t>
        </r>
      </text>
    </comment>
    <comment ref="N20" authorId="0">
      <text>
        <r>
          <rPr>
            <sz val="8"/>
            <rFont val="Tahoma"/>
            <family val="0"/>
          </rPr>
          <t>A bányajáradék összegének számításához szükséges adat.</t>
        </r>
      </text>
    </comment>
    <comment ref="N23" authorId="0">
      <text>
        <r>
          <rPr>
            <sz val="8"/>
            <rFont val="Tahoma"/>
            <family val="0"/>
          </rPr>
          <t>Általános célú földgáz ára , rendelet által meghatározva.</t>
        </r>
      </text>
    </comment>
    <comment ref="N25" authorId="0">
      <text>
        <r>
          <rPr>
            <sz val="8"/>
            <rFont val="Tahoma"/>
            <family val="0"/>
          </rPr>
          <t>A földgázmérőn áthaladt mennyiség átlagos szorzója (gázsűrűség változásból adódik) A gáz tényleges hőtartalmának számításához.</t>
        </r>
      </text>
    </comment>
    <comment ref="N28" authorId="0">
      <text>
        <r>
          <rPr>
            <sz val="8"/>
            <rFont val="Tahoma"/>
            <family val="0"/>
          </rPr>
          <t>Az éves átlagos mennyiség , az átlagszorzó , az átlagos fűtőérték és az általános célú  díj szorzata</t>
        </r>
      </text>
    </comment>
    <comment ref="N32" authorId="0">
      <text>
        <r>
          <rPr>
            <sz val="8"/>
            <rFont val="Tahoma"/>
            <family val="0"/>
          </rPr>
          <t>A villamosenergia  értéke (fogyasztás díja + alapdíj) és a mennyiség hányadosa</t>
        </r>
      </text>
    </comment>
    <comment ref="N33" authorId="0">
      <text>
        <r>
          <rPr>
            <sz val="8"/>
            <rFont val="Tahoma"/>
            <family val="0"/>
          </rPr>
          <t>A villamosenergia  értéke (fogyasztás díja + alapdíj) és a mennyiség hányadosa</t>
        </r>
      </text>
    </comment>
    <comment ref="N34" authorId="0">
      <text>
        <r>
          <rPr>
            <sz val="8"/>
            <rFont val="Tahoma"/>
            <family val="0"/>
          </rPr>
          <t>A beépített villamos teljesítmény , a súlyozott  üzemidő és az egységár szorzata.</t>
        </r>
      </text>
    </comment>
    <comment ref="N35" authorId="0">
      <text>
        <r>
          <rPr>
            <sz val="8"/>
            <rFont val="Tahoma"/>
            <family val="0"/>
          </rPr>
          <t>A beépített villamos teljesítmény , a súlyozott  üzemidő és az egységár szorzata.</t>
        </r>
      </text>
    </comment>
    <comment ref="N36" authorId="0">
      <text>
        <r>
          <rPr>
            <sz val="8"/>
            <rFont val="Tahoma"/>
            <family val="0"/>
          </rPr>
          <t>A rendszer területén a tervezett ,nem beruházás jellegü anyagköltségek.</t>
        </r>
      </text>
    </comment>
    <comment ref="N37" authorId="0">
      <text>
        <r>
          <rPr>
            <sz val="8"/>
            <rFont val="Tahoma"/>
            <family val="0"/>
          </rPr>
          <t>A rendszer területén a tervezett ,nem beruházás jellegü anyagköltségek.</t>
        </r>
      </text>
    </comment>
    <comment ref="N39" authorId="0">
      <text>
        <r>
          <rPr>
            <sz val="8"/>
            <rFont val="Tahoma"/>
            <family val="0"/>
          </rPr>
          <t>A tömbfűtő területén az összes fizető lm3 (lakott lakások, lépcsőházak , szárítók) Nem tartalmazza az egyéb (garázs ) hőfogyasztók lm3-ét</t>
        </r>
      </text>
    </comment>
    <comment ref="N40" authorId="0">
      <text>
        <r>
          <rPr>
            <sz val="8"/>
            <rFont val="Tahoma"/>
            <family val="0"/>
          </rPr>
          <t>A fogyasztók használati melegvíz előző 5 év átlagos felhasználása.</t>
        </r>
      </text>
    </comment>
    <comment ref="G73" authorId="0">
      <text>
        <r>
          <rPr>
            <sz val="8"/>
            <rFont val="Tahoma"/>
            <family val="0"/>
          </rPr>
          <t>Szabadon beírható adat</t>
        </r>
      </text>
    </comment>
    <comment ref="I73" authorId="0">
      <text>
        <r>
          <rPr>
            <sz val="8"/>
            <rFont val="Tahoma"/>
            <family val="0"/>
          </rPr>
          <t>Szabadon beírható adat</t>
        </r>
      </text>
    </comment>
    <comment ref="G77" authorId="0">
      <text>
        <r>
          <rPr>
            <sz val="8"/>
            <rFont val="Tahoma"/>
            <family val="0"/>
          </rPr>
          <t>Szabadon beírható adat</t>
        </r>
      </text>
    </comment>
    <comment ref="I77" authorId="0">
      <text>
        <r>
          <rPr>
            <sz val="8"/>
            <rFont val="Tahoma"/>
            <family val="0"/>
          </rPr>
          <t>Szabadon beírható adat</t>
        </r>
      </text>
    </comment>
    <comment ref="K217" authorId="0">
      <text>
        <r>
          <rPr>
            <sz val="8"/>
            <rFont val="Tahoma"/>
            <family val="0"/>
          </rPr>
          <t>A tömbfűtőre jutó termál és a földgáz összes energia mennyisége.</t>
        </r>
      </text>
    </comment>
    <comment ref="M217" authorId="0">
      <text>
        <r>
          <rPr>
            <sz val="8"/>
            <rFont val="Tahoma"/>
            <family val="0"/>
          </rPr>
          <t>A tömbfűtőmű rendszerének átlagos hatásfoka</t>
        </r>
      </text>
    </comment>
    <comment ref="M227" authorId="0">
      <text>
        <r>
          <rPr>
            <sz val="8"/>
            <rFont val="Tahoma"/>
            <family val="0"/>
          </rPr>
          <t>Az I. és II (term. Power kivételével)
 lrendszeren az elsődleges fogyasztók által felhasznált energia mennyiség.</t>
        </r>
      </text>
    </comment>
    <comment ref="N17" authorId="1">
      <text>
        <r>
          <rPr>
            <sz val="8"/>
            <rFont val="Tahoma"/>
            <family val="0"/>
          </rPr>
          <t xml:space="preserve">A termálrendszer bérköltségének a számításához
</t>
        </r>
      </text>
    </comment>
    <comment ref="Q96" authorId="1">
      <text>
        <r>
          <rPr>
            <sz val="8"/>
            <rFont val="Tahoma"/>
            <family val="0"/>
          </rPr>
          <t xml:space="preserve">Direkt költs adat
</t>
        </r>
      </text>
    </comment>
    <comment ref="Q97" authorId="1">
      <text>
        <r>
          <rPr>
            <sz val="8"/>
            <rFont val="Tahoma"/>
            <family val="0"/>
          </rPr>
          <t xml:space="preserve">Direkt ktsg adat
</t>
        </r>
      </text>
    </comment>
    <comment ref="Q104" authorId="1">
      <text>
        <r>
          <rPr>
            <sz val="8"/>
            <rFont val="Tahoma"/>
            <family val="0"/>
          </rPr>
          <t xml:space="preserve">direkt
</t>
        </r>
      </text>
    </comment>
    <comment ref="E108" authorId="2">
      <text>
        <r>
          <rPr>
            <sz val="8"/>
            <rFont val="Tahoma"/>
            <family val="0"/>
          </rPr>
          <t xml:space="preserve">átlaggázmennyisg*96,3%
</t>
        </r>
      </text>
    </comment>
  </commentList>
</comments>
</file>

<file path=xl/sharedStrings.xml><?xml version="1.0" encoding="utf-8"?>
<sst xmlns="http://schemas.openxmlformats.org/spreadsheetml/2006/main" count="496" uniqueCount="336">
  <si>
    <t>Városi Víz - és Kommunális KFT Csongrád</t>
  </si>
  <si>
    <t>Távhő árkalkulációs tábla</t>
  </si>
  <si>
    <t>Költség megnevezés</t>
  </si>
  <si>
    <t>I. rendszer</t>
  </si>
  <si>
    <t>eFt</t>
  </si>
  <si>
    <t>Termálvízkészlet haszn díj</t>
  </si>
  <si>
    <t>Termálvíz bányajáradék</t>
  </si>
  <si>
    <t>Villamos energia</t>
  </si>
  <si>
    <t>Földgáz</t>
  </si>
  <si>
    <t>Ammortizáció</t>
  </si>
  <si>
    <t>Kútbérlet</t>
  </si>
  <si>
    <t>Anyag</t>
  </si>
  <si>
    <t>Bér</t>
  </si>
  <si>
    <t>Bér járulékai</t>
  </si>
  <si>
    <t>Nyereség</t>
  </si>
  <si>
    <t>Fogyasztóra terhelendő</t>
  </si>
  <si>
    <t>Tömbfűtőmű</t>
  </si>
  <si>
    <t xml:space="preserve">Termálvíz </t>
  </si>
  <si>
    <t>fogyasztók</t>
  </si>
  <si>
    <t>Fűtési alapdíj</t>
  </si>
  <si>
    <t>Ft/lm3/év</t>
  </si>
  <si>
    <t>Melegvíz alapdíj</t>
  </si>
  <si>
    <t>Mért hő díja</t>
  </si>
  <si>
    <t>Ft/GJ</t>
  </si>
  <si>
    <t>Melegvíz hődíja</t>
  </si>
  <si>
    <t>Ft/m3</t>
  </si>
  <si>
    <t>Termálenergia ára</t>
  </si>
  <si>
    <t>1. sz. melléklet</t>
  </si>
  <si>
    <t>Érték</t>
  </si>
  <si>
    <t>Mért.egys.</t>
  </si>
  <si>
    <t>em3</t>
  </si>
  <si>
    <t xml:space="preserve">Termálvíz hőtartalma a bányajáradékhoz </t>
  </si>
  <si>
    <t>GJ</t>
  </si>
  <si>
    <t xml:space="preserve">Bányajáradék mértéke </t>
  </si>
  <si>
    <t>%</t>
  </si>
  <si>
    <t xml:space="preserve">Bányajáradék összege </t>
  </si>
  <si>
    <t xml:space="preserve">A távhőüzem rezsióradíja </t>
  </si>
  <si>
    <t>Ft/óra</t>
  </si>
  <si>
    <t>Ammortizáció a tömbfűtőnél</t>
  </si>
  <si>
    <t>A kút bérleti díja</t>
  </si>
  <si>
    <t xml:space="preserve">Földgáz átlagos fűtőérték </t>
  </si>
  <si>
    <t>MJ/m3</t>
  </si>
  <si>
    <t>Földgáz mennyiség (5 éves átlag)</t>
  </si>
  <si>
    <t>Ft/Mwh</t>
  </si>
  <si>
    <t>Villamos energia díja a tömbfűtő területén</t>
  </si>
  <si>
    <t xml:space="preserve">Villamos energia dija  a termálkútnál </t>
  </si>
  <si>
    <t xml:space="preserve">Anyagköltség a tömbfűtőnél </t>
  </si>
  <si>
    <t>Tömbfűtőhöz tartozó fogyasztók fizető fűtött lm3-e</t>
  </si>
  <si>
    <t>lm3</t>
  </si>
  <si>
    <t>Tömbfűtőhöz tartozó fogyasztók HMV m3-e (5 éves átlag)</t>
  </si>
  <si>
    <t>m3</t>
  </si>
  <si>
    <t xml:space="preserve">Nyereség mértéke a termál rendszeren </t>
  </si>
  <si>
    <t>Fűtés költség aránya az összes költséghez</t>
  </si>
  <si>
    <t xml:space="preserve">HMV költség aránya az összes költséghez </t>
  </si>
  <si>
    <t xml:space="preserve">Alapdíj aránya </t>
  </si>
  <si>
    <t xml:space="preserve">Hődíj aránya  </t>
  </si>
  <si>
    <t>Átlag</t>
  </si>
  <si>
    <t>Vízkészlethasználat járulék díja :</t>
  </si>
  <si>
    <t>Nyári felhasználás</t>
  </si>
  <si>
    <t>Téli felhasználás</t>
  </si>
  <si>
    <t>Hőlépcső nyáron :</t>
  </si>
  <si>
    <t xml:space="preserve"> °C -</t>
  </si>
  <si>
    <t xml:space="preserve"> °C =</t>
  </si>
  <si>
    <t xml:space="preserve">  °C</t>
  </si>
  <si>
    <t>súly :</t>
  </si>
  <si>
    <t>1000 kg/m3</t>
  </si>
  <si>
    <t>Hőtartalom nyáron :</t>
  </si>
  <si>
    <t>(GJ)</t>
  </si>
  <si>
    <t>(m3*°C*4,186)</t>
  </si>
  <si>
    <t>Hőlépcső télen :</t>
  </si>
  <si>
    <t>Hőtartalom télen :</t>
  </si>
  <si>
    <t>Bányajáradék szempontjából figyelembe vett</t>
  </si>
  <si>
    <t>Hőlépcső (éves átlagos)</t>
  </si>
  <si>
    <t>Hőtartalom (éves átlagos)</t>
  </si>
  <si>
    <t>Bányajáradék összege :</t>
  </si>
  <si>
    <t xml:space="preserve">  GJ *</t>
  </si>
  <si>
    <t xml:space="preserve"> % *</t>
  </si>
  <si>
    <t>Ft/GJ=</t>
  </si>
  <si>
    <t xml:space="preserve"> eFt</t>
  </si>
  <si>
    <t>Összesen :</t>
  </si>
  <si>
    <t>Díj :</t>
  </si>
  <si>
    <t xml:space="preserve"> Mwh * </t>
  </si>
  <si>
    <t xml:space="preserve"> Ft/Mwh =</t>
  </si>
  <si>
    <t>(em3)</t>
  </si>
  <si>
    <t>Hőkapacitás :</t>
  </si>
  <si>
    <t>em3 *</t>
  </si>
  <si>
    <t xml:space="preserve"> Mj/m3 *</t>
  </si>
  <si>
    <t xml:space="preserve"> =</t>
  </si>
  <si>
    <t xml:space="preserve"> GJ</t>
  </si>
  <si>
    <t xml:space="preserve"> em3/év *</t>
  </si>
  <si>
    <t xml:space="preserve"> *</t>
  </si>
  <si>
    <t xml:space="preserve"> Ft/GJ =</t>
  </si>
  <si>
    <t>Bérjárulék :</t>
  </si>
  <si>
    <t xml:space="preserve"> % * </t>
  </si>
  <si>
    <t>Termálkútra fordított idő :</t>
  </si>
  <si>
    <t>általános ellenőrzési idő :</t>
  </si>
  <si>
    <t>2 óra /nap * 365 nap =</t>
  </si>
  <si>
    <t xml:space="preserve"> óra/év</t>
  </si>
  <si>
    <t xml:space="preserve">Karbantartási idő : </t>
  </si>
  <si>
    <t>Óradíj :</t>
  </si>
  <si>
    <t xml:space="preserve"> Ft/óra</t>
  </si>
  <si>
    <t>termálkútra elszámolható összes bér :</t>
  </si>
  <si>
    <t>Az összes önköltség nyereségszorzóval számított része :</t>
  </si>
  <si>
    <t xml:space="preserve"> eFt*</t>
  </si>
  <si>
    <t xml:space="preserve"> % =</t>
  </si>
  <si>
    <t>Összes költség :</t>
  </si>
  <si>
    <t xml:space="preserve">  eFt</t>
  </si>
  <si>
    <t>Egységdíjak számítása :</t>
  </si>
  <si>
    <t>Összes felosztható költség :</t>
  </si>
  <si>
    <t>Fűtésre osztható ktsg :</t>
  </si>
  <si>
    <t xml:space="preserve"> eFt *</t>
  </si>
  <si>
    <t>Fűtési alapdíjra osztható ktsg :</t>
  </si>
  <si>
    <t>Fűtési hődíjra osztató ktsg :</t>
  </si>
  <si>
    <t>1 lm3 jutó fűtési alapdíj :</t>
  </si>
  <si>
    <t xml:space="preserve"> eFt /</t>
  </si>
  <si>
    <t xml:space="preserve"> lm3 =</t>
  </si>
  <si>
    <t xml:space="preserve"> Ft/lm/év</t>
  </si>
  <si>
    <t>HMV -re osztható ktsg :</t>
  </si>
  <si>
    <t>HMV alapdíjra osztható ktsg :</t>
  </si>
  <si>
    <t>HMV hődíjra osztható ktsg :</t>
  </si>
  <si>
    <t>HMV alapdíj :</t>
  </si>
  <si>
    <t>HMV hődíj :</t>
  </si>
  <si>
    <t xml:space="preserve"> m3 =</t>
  </si>
  <si>
    <t xml:space="preserve"> Ft/m3</t>
  </si>
  <si>
    <t>Mért hődíj :</t>
  </si>
  <si>
    <t xml:space="preserve"> Ft/GJ</t>
  </si>
  <si>
    <t>Termálenergia ára :</t>
  </si>
  <si>
    <t xml:space="preserve"> Ft /</t>
  </si>
  <si>
    <t xml:space="preserve"> em3=</t>
  </si>
  <si>
    <t xml:space="preserve"> GJ =</t>
  </si>
  <si>
    <t>Személyi jell. Egyéb ktsg.</t>
  </si>
  <si>
    <t>Személyi jell. Egyéb</t>
  </si>
  <si>
    <t>Osztott TMK ktsg.</t>
  </si>
  <si>
    <t>Közvetlen osztott ktsg.</t>
  </si>
  <si>
    <t>TMK ktsg</t>
  </si>
  <si>
    <t>TMK költségek</t>
  </si>
  <si>
    <t>Közvetlen osztott ktsg</t>
  </si>
  <si>
    <t>Javasolt díjak</t>
  </si>
  <si>
    <t xml:space="preserve">Személyi jellegű egyéb : </t>
  </si>
  <si>
    <t xml:space="preserve">Nyereség mértéke a tömbfűtőnél </t>
  </si>
  <si>
    <t>Teljesítménydíj</t>
  </si>
  <si>
    <t>Összes gázdíj:</t>
  </si>
  <si>
    <t>Tervezett összes bér</t>
  </si>
  <si>
    <t xml:space="preserve"> eFt </t>
  </si>
  <si>
    <t>Ráfordítás</t>
  </si>
  <si>
    <t xml:space="preserve">Bér járulékai </t>
  </si>
  <si>
    <t>* kalkulált év m3 (eFt)</t>
  </si>
  <si>
    <t>Földgáz teljesítménydíj</t>
  </si>
  <si>
    <t>1.sz. táblázat</t>
  </si>
  <si>
    <t>Vízkészlethasználati alapdíj *felhasználási szorzó (7,5 Ft/m3)</t>
  </si>
  <si>
    <t>eFT</t>
  </si>
  <si>
    <t>Összes hőfelhasználás:(GJ)</t>
  </si>
  <si>
    <t>lakás nagyság</t>
  </si>
  <si>
    <t xml:space="preserve">  lm3</t>
  </si>
  <si>
    <t xml:space="preserve">Fűtési hő </t>
  </si>
  <si>
    <t xml:space="preserve">  GJ/év</t>
  </si>
  <si>
    <t>HMV mennyiség</t>
  </si>
  <si>
    <t xml:space="preserve"> m3/év</t>
  </si>
  <si>
    <t>Ft</t>
  </si>
  <si>
    <t>Egységdíjak</t>
  </si>
  <si>
    <t>Fűtési alapdíj (Ft/lm3/év)</t>
  </si>
  <si>
    <t>HMV alapdíj  (Ft/lm3/év)</t>
  </si>
  <si>
    <t>Mért fűtési hődíj  (Ft/GJ)</t>
  </si>
  <si>
    <t>HMV hődíj  (Ft/m3)</t>
  </si>
  <si>
    <t>Költségek
egymás közötti
arányai</t>
  </si>
  <si>
    <t>Egyéb szolgáltatás</t>
  </si>
  <si>
    <t>Lakás Költség összesen: (Ft/év)</t>
  </si>
  <si>
    <t>Városi Víz és Kommunális KFT Csongrád Erzsébet u. 25.
Távhő szolgáltatás</t>
  </si>
  <si>
    <t>Tervezett összes nettó bér</t>
  </si>
  <si>
    <t xml:space="preserve"> GJ  </t>
  </si>
  <si>
    <t>Villamosenergia felhasználás (Mwh)</t>
  </si>
  <si>
    <t xml:space="preserve">  =</t>
  </si>
  <si>
    <t>Földgáz átlag faktoriális tényező (belső mérőnél)</t>
  </si>
  <si>
    <t>Költségváltozás  az előző évhez viszonyítva (%)</t>
  </si>
  <si>
    <t xml:space="preserve"> Gj/év</t>
  </si>
  <si>
    <t>Konvektor hatásfok</t>
  </si>
  <si>
    <t>HMV kazán hatásfok</t>
  </si>
  <si>
    <t xml:space="preserve"> * 1,04 * </t>
  </si>
  <si>
    <t xml:space="preserve"> GJ/év * </t>
  </si>
  <si>
    <t xml:space="preserve"> Ft/év</t>
  </si>
  <si>
    <t>Távhőszolgáltatásból vett</t>
  </si>
  <si>
    <t>Gázszorzók átlagos</t>
  </si>
  <si>
    <t>bevitt hő</t>
  </si>
  <si>
    <t>Ár (Ft/Gj)</t>
  </si>
  <si>
    <t>Hőfokemelés (12 - 50 °C)</t>
  </si>
  <si>
    <r>
      <t>38 °C * 4,186 /1000000</t>
    </r>
    <r>
      <rPr>
        <sz val="10"/>
        <rFont val="Arial CE"/>
        <family val="0"/>
      </rPr>
      <t xml:space="preserve">*1,04 * </t>
    </r>
  </si>
  <si>
    <t xml:space="preserve"> l/év * 0,986 * </t>
  </si>
  <si>
    <t>Átszámítás földgázköltségre:</t>
  </si>
  <si>
    <t>Távhőszolgáltatásba kapcsolt lakás
gázköltségszámítása (Nettó)
(ha egyedi gázellátású volna)</t>
  </si>
  <si>
    <t>Kalkulált éves 
földgázmennyiség
(em3)</t>
  </si>
  <si>
    <t>Korrekc
szorzó</t>
  </si>
  <si>
    <t>Átlag fűtőérték
(MJ/m3)</t>
  </si>
  <si>
    <t>Közüzemi
gázdíj
(Ft/MJ)</t>
  </si>
  <si>
    <t>Támogatás
(Ft/MJ)</t>
  </si>
  <si>
    <t>Lakossági hányad
(%)</t>
  </si>
  <si>
    <t>Intézményi
hányad
(Ft/MJ)</t>
  </si>
  <si>
    <t>Összes díj (Ft)</t>
  </si>
  <si>
    <t>Ebből kedvezmény(Ft)</t>
  </si>
  <si>
    <t>Összes fizetendő gázdíj (Ft)</t>
  </si>
  <si>
    <t>Átlagos díj: (Ft/GJ)</t>
  </si>
  <si>
    <t>100-500 m3/h Teljesítménydíjas fogyasztók gázdíja Távhő kedvezménnyel</t>
  </si>
  <si>
    <t>Bányajáradék számításához adott gázár</t>
  </si>
  <si>
    <t xml:space="preserve">Villamos átlagos energia ár a tömfűtőnél </t>
  </si>
  <si>
    <t xml:space="preserve">Villamos átlagos energia ár a termálkútnál </t>
  </si>
  <si>
    <t>2006 Évi díj</t>
  </si>
  <si>
    <t>GázDíj (támogatott): (eFt)</t>
  </si>
  <si>
    <t>100-500 m3/h közüzemi gázdíja</t>
  </si>
  <si>
    <t>Földgáz megosztás távhőre eső %</t>
  </si>
  <si>
    <t>Földgáz közüzemi fogyasztókra eső %</t>
  </si>
  <si>
    <t>Gázdíj (közüzemi)</t>
  </si>
  <si>
    <t>2007 évi díj</t>
  </si>
  <si>
    <t>Földgáz díja   Támogatott</t>
  </si>
  <si>
    <t>Földgáz díja   Közüzemi</t>
  </si>
  <si>
    <t>Díjjavaslat 2006 December 15-től</t>
  </si>
  <si>
    <t>2006. December 15-től</t>
  </si>
  <si>
    <t xml:space="preserve">         távhő .       </t>
  </si>
  <si>
    <t>terv</t>
  </si>
  <si>
    <t>I-III. név</t>
  </si>
  <si>
    <t>kalk.</t>
  </si>
  <si>
    <t>anyag</t>
  </si>
  <si>
    <t>vill.energ</t>
  </si>
  <si>
    <t>egyéb en.</t>
  </si>
  <si>
    <t>rezsi anyag</t>
  </si>
  <si>
    <t>üzemanyag</t>
  </si>
  <si>
    <t>bér</t>
  </si>
  <si>
    <t>szem.jell.egy.</t>
  </si>
  <si>
    <t>bérjárulékok</t>
  </si>
  <si>
    <t>amortizáció</t>
  </si>
  <si>
    <t>egyéb szolg.</t>
  </si>
  <si>
    <t>bérleti díj</t>
  </si>
  <si>
    <t xml:space="preserve"> biztosítás</t>
  </si>
  <si>
    <t>VKHJ</t>
  </si>
  <si>
    <t>bányajárulék</t>
  </si>
  <si>
    <t>szennyv.bírs.</t>
  </si>
  <si>
    <t>ráfordítások</t>
  </si>
  <si>
    <t>hitelezési vesztes.</t>
  </si>
  <si>
    <t>ELABÉ, alváll.</t>
  </si>
  <si>
    <t>önköltség ö..</t>
  </si>
  <si>
    <t>tmk</t>
  </si>
  <si>
    <t>ir.ktg</t>
  </si>
  <si>
    <t xml:space="preserve">ÖSSZ. KÖLTSÉG </t>
  </si>
  <si>
    <t>ÁRBEVÉTEL</t>
  </si>
  <si>
    <t>(DÉGÁZ-os adat)</t>
  </si>
  <si>
    <t>Eredmény</t>
  </si>
  <si>
    <t>díj</t>
  </si>
  <si>
    <t>Csongrád Városi Víz - és Kommunális KFT</t>
  </si>
  <si>
    <t xml:space="preserve">                    2006. december 15-től</t>
  </si>
  <si>
    <t xml:space="preserve">                  TÁVHŐDÍJ JAVASLAT</t>
  </si>
  <si>
    <t>3. Sz. táblázat</t>
  </si>
  <si>
    <t>2 sz-ú táblázat</t>
  </si>
  <si>
    <t xml:space="preserve">    Termálvíz felhasználás a rendszeren (em3)</t>
  </si>
  <si>
    <t>Sr</t>
  </si>
  <si>
    <t>I rendszer</t>
  </si>
  <si>
    <t xml:space="preserve">I </t>
  </si>
  <si>
    <t>rendszer</t>
  </si>
  <si>
    <t>össz. Ktg-e</t>
  </si>
  <si>
    <t xml:space="preserve">  össz.</t>
  </si>
  <si>
    <t>ktg</t>
  </si>
  <si>
    <t xml:space="preserve"> többlet</t>
  </si>
  <si>
    <t xml:space="preserve">átvett </t>
  </si>
  <si>
    <t xml:space="preserve"> össz</t>
  </si>
  <si>
    <t>átadott</t>
  </si>
  <si>
    <t>eü+szaiksk</t>
  </si>
  <si>
    <t xml:space="preserve">         B rendszer ktg-ei</t>
  </si>
  <si>
    <t>A költségei</t>
  </si>
  <si>
    <t>B</t>
  </si>
  <si>
    <t>C</t>
  </si>
  <si>
    <t>A</t>
  </si>
  <si>
    <t>A-ból</t>
  </si>
  <si>
    <t>B belső</t>
  </si>
  <si>
    <t xml:space="preserve">  ktg e</t>
  </si>
  <si>
    <t>a</t>
  </si>
  <si>
    <t>c</t>
  </si>
  <si>
    <t>d</t>
  </si>
  <si>
    <t>f</t>
  </si>
  <si>
    <t>g</t>
  </si>
  <si>
    <t>b</t>
  </si>
  <si>
    <t>e</t>
  </si>
  <si>
    <t>B -be</t>
  </si>
  <si>
    <t>( e + f)</t>
  </si>
  <si>
    <t>ktg -e</t>
  </si>
  <si>
    <t>(e-ből)</t>
  </si>
  <si>
    <t>(b+c)</t>
  </si>
  <si>
    <t>(d+f)</t>
  </si>
  <si>
    <t>Költségek, azok felosztásának számítása</t>
  </si>
  <si>
    <t>Termálvíz felhasználás (C + B rendszeren )</t>
  </si>
  <si>
    <t>B rendszer</t>
  </si>
  <si>
    <t>A rendszer</t>
  </si>
  <si>
    <t>C rendszer</t>
  </si>
  <si>
    <t xml:space="preserve">Anyagköltség a A. rendszeren </t>
  </si>
  <si>
    <t xml:space="preserve">Termálvíz felhasználási arány B. rendszeren </t>
  </si>
  <si>
    <t xml:space="preserve">Termálvíz felhasználási arány (Sághy+Eü. Int. )  </t>
  </si>
  <si>
    <t>Termálvíz felhasználás és költségeinek tervezése 5 év átlagában</t>
  </si>
  <si>
    <t>Villamosenergia felhasználás és költségeinek tervezése 5 év átlagában</t>
  </si>
  <si>
    <t>Földgázfelhasználás és költségeinek tervezése 5 év átlagában</t>
  </si>
  <si>
    <t xml:space="preserve">Amorticációs költség </t>
  </si>
  <si>
    <t>Bérleti díj</t>
  </si>
  <si>
    <t>B rendszer ammortizációs összege ( eFt):</t>
  </si>
  <si>
    <t>B rendszer bérleti díja ( eFt):</t>
  </si>
  <si>
    <t>Földgáz felhasználás a B. rendszeren</t>
  </si>
  <si>
    <t>B. rendszeren</t>
  </si>
  <si>
    <t>A   rendszeren</t>
  </si>
  <si>
    <t>Anyagköltség</t>
  </si>
  <si>
    <t>egyéb szolgáltatás</t>
  </si>
  <si>
    <t>Külső vállakozó(k), szolgáltatások költségei</t>
  </si>
  <si>
    <t>Bér és költségeinek tervezése</t>
  </si>
  <si>
    <t>TMK osztott ktg</t>
  </si>
  <si>
    <t xml:space="preserve">Irányítási osztott ktg </t>
  </si>
  <si>
    <t>Eredmény számítás</t>
  </si>
  <si>
    <t>A rendszeren :</t>
  </si>
  <si>
    <t>B rendszeren :</t>
  </si>
  <si>
    <t>C rendszeren:</t>
  </si>
  <si>
    <t>I. TÁVHŐRENDSZER ÖSSZ KTG:</t>
  </si>
  <si>
    <t>(B+C rendszer ktg--e)</t>
  </si>
  <si>
    <t xml:space="preserve">  (B + C)</t>
  </si>
  <si>
    <t>oszlopok jele</t>
  </si>
  <si>
    <t>B. sz rendszer díjai :</t>
  </si>
  <si>
    <t>A. rendszer díjai :</t>
  </si>
  <si>
    <t xml:space="preserve"> a teljes távhőrendszer</t>
  </si>
  <si>
    <t xml:space="preserve">   kazánház + ellátott</t>
  </si>
  <si>
    <t xml:space="preserve">   fogyasztók</t>
  </si>
  <si>
    <t xml:space="preserve">   termálkút + nyomás-</t>
  </si>
  <si>
    <t xml:space="preserve">  fokozó rendszer</t>
  </si>
  <si>
    <t xml:space="preserve">   csak termálvizet</t>
  </si>
  <si>
    <t xml:space="preserve">   vételezők rendszere</t>
  </si>
  <si>
    <t>4. sz-ú táblázat</t>
  </si>
  <si>
    <t>B. rendszer ( kazánházi távhő)</t>
  </si>
  <si>
    <t>A. rendszer (termál távhő)</t>
  </si>
  <si>
    <t>A díjakat a mindenkori ÁFA terheli!</t>
  </si>
  <si>
    <t>Városi Víz és Kommunális KFT</t>
  </si>
  <si>
    <t>Csongrád</t>
  </si>
  <si>
    <t>Átlaglakásra vetített távhőszolgáltatási költségváltozás ÁFÁ-val</t>
  </si>
  <si>
    <t>2006. novemberben érvényes díjakhoz viszonyítva.</t>
  </si>
  <si>
    <t>Átlaglakásra vetített távhőszolgáltatási díjváltozás ÁFA nélül</t>
  </si>
  <si>
    <t>5. sz-ú táblázat</t>
  </si>
  <si>
    <t xml:space="preserve"> Ft/lm3/év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</si>
</sst>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%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8"/>
      <name val="Arial CE"/>
      <family val="2"/>
    </font>
    <font>
      <b/>
      <sz val="20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Tahoma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sz val="11"/>
      <name val="Arial CE"/>
      <family val="0"/>
    </font>
    <font>
      <i/>
      <sz val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" fontId="5" fillId="0" borderId="6" xfId="0" applyNumberFormat="1" applyFont="1" applyBorder="1" applyAlignment="1">
      <alignment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1" fontId="10" fillId="4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1" fillId="3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1" fontId="0" fillId="4" borderId="0" xfId="0" applyNumberFormat="1" applyFill="1" applyAlignment="1">
      <alignment/>
    </xf>
    <xf numFmtId="0" fontId="8" fillId="0" borderId="0" xfId="0" applyFont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5" fillId="0" borderId="25" xfId="0" applyNumberFormat="1" applyFont="1" applyBorder="1" applyAlignment="1">
      <alignment/>
    </xf>
    <xf numFmtId="1" fontId="10" fillId="4" borderId="26" xfId="0" applyNumberFormat="1" applyFont="1" applyFill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9" fillId="2" borderId="28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29" xfId="0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0" fontId="0" fillId="6" borderId="0" xfId="0" applyFill="1" applyAlignment="1">
      <alignment/>
    </xf>
    <xf numFmtId="2" fontId="0" fillId="5" borderId="0" xfId="0" applyNumberFormat="1" applyFill="1" applyAlignment="1">
      <alignment/>
    </xf>
    <xf numFmtId="0" fontId="8" fillId="0" borderId="0" xfId="0" applyFont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/>
    </xf>
    <xf numFmtId="1" fontId="0" fillId="0" borderId="33" xfId="0" applyNumberFormat="1" applyBorder="1" applyAlignment="1">
      <alignment/>
    </xf>
    <xf numFmtId="169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1" fontId="0" fillId="0" borderId="35" xfId="0" applyNumberFormat="1" applyBorder="1" applyAlignment="1">
      <alignment/>
    </xf>
    <xf numFmtId="169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38" xfId="0" applyFont="1" applyBorder="1" applyAlignment="1">
      <alignment/>
    </xf>
    <xf numFmtId="1" fontId="1" fillId="0" borderId="38" xfId="0" applyNumberFormat="1" applyFont="1" applyBorder="1" applyAlignment="1">
      <alignment/>
    </xf>
    <xf numFmtId="169" fontId="0" fillId="0" borderId="42" xfId="0" applyNumberFormat="1" applyBorder="1" applyAlignment="1">
      <alignment/>
    </xf>
    <xf numFmtId="164" fontId="1" fillId="5" borderId="0" xfId="0" applyNumberFormat="1" applyFont="1" applyFill="1" applyAlignment="1">
      <alignment/>
    </xf>
    <xf numFmtId="1" fontId="1" fillId="5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9" fontId="0" fillId="0" borderId="0" xfId="0" applyNumberFormat="1" applyAlignment="1">
      <alignment/>
    </xf>
    <xf numFmtId="0" fontId="13" fillId="0" borderId="0" xfId="0" applyFont="1" applyAlignment="1">
      <alignment/>
    </xf>
    <xf numFmtId="164" fontId="13" fillId="0" borderId="4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/>
    </xf>
    <xf numFmtId="1" fontId="13" fillId="0" borderId="0" xfId="0" applyNumberFormat="1" applyFont="1" applyAlignment="1">
      <alignment horizontal="right" vertical="center"/>
    </xf>
    <xf numFmtId="1" fontId="13" fillId="0" borderId="16" xfId="0" applyNumberFormat="1" applyFont="1" applyBorder="1" applyAlignment="1">
      <alignment horizontal="right" vertical="center"/>
    </xf>
    <xf numFmtId="1" fontId="1" fillId="0" borderId="48" xfId="0" applyNumberFormat="1" applyFont="1" applyBorder="1" applyAlignment="1">
      <alignment/>
    </xf>
    <xf numFmtId="1" fontId="1" fillId="0" borderId="4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18" fillId="0" borderId="49" xfId="0" applyFont="1" applyBorder="1" applyAlignment="1">
      <alignment horizontal="centerContinuous"/>
    </xf>
    <xf numFmtId="0" fontId="18" fillId="0" borderId="42" xfId="0" applyFont="1" applyBorder="1" applyAlignment="1">
      <alignment horizontal="centerContinuous"/>
    </xf>
    <xf numFmtId="0" fontId="0" fillId="0" borderId="50" xfId="0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48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8" fillId="0" borderId="52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9" fillId="0" borderId="54" xfId="0" applyFont="1" applyBorder="1" applyAlignment="1">
      <alignment horizontal="center"/>
    </xf>
    <xf numFmtId="0" fontId="18" fillId="0" borderId="30" xfId="0" applyFont="1" applyBorder="1" applyAlignment="1">
      <alignment/>
    </xf>
    <xf numFmtId="1" fontId="19" fillId="0" borderId="44" xfId="0" applyNumberFormat="1" applyFont="1" applyFill="1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0" fontId="21" fillId="0" borderId="46" xfId="0" applyFont="1" applyBorder="1" applyAlignment="1">
      <alignment/>
    </xf>
    <xf numFmtId="0" fontId="21" fillId="0" borderId="55" xfId="0" applyFont="1" applyBorder="1" applyAlignment="1">
      <alignment/>
    </xf>
    <xf numFmtId="0" fontId="0" fillId="0" borderId="49" xfId="0" applyBorder="1" applyAlignment="1">
      <alignment horizontal="center"/>
    </xf>
    <xf numFmtId="0" fontId="21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0" fillId="0" borderId="56" xfId="0" applyNumberFormat="1" applyFont="1" applyBorder="1" applyAlignment="1">
      <alignment horizontal="center"/>
    </xf>
    <xf numFmtId="1" fontId="21" fillId="0" borderId="57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" fontId="18" fillId="0" borderId="39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" fontId="18" fillId="0" borderId="40" xfId="0" applyNumberFormat="1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58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8" fillId="0" borderId="46" xfId="0" applyFont="1" applyBorder="1" applyAlignment="1">
      <alignment/>
    </xf>
    <xf numFmtId="1" fontId="19" fillId="0" borderId="43" xfId="0" applyNumberFormat="1" applyFont="1" applyBorder="1" applyAlignment="1">
      <alignment horizontal="center"/>
    </xf>
    <xf numFmtId="1" fontId="18" fillId="0" borderId="57" xfId="0" applyNumberFormat="1" applyFont="1" applyBorder="1" applyAlignment="1">
      <alignment horizontal="center"/>
    </xf>
    <xf numFmtId="1" fontId="20" fillId="0" borderId="29" xfId="0" applyNumberFormat="1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" fontId="19" fillId="0" borderId="39" xfId="0" applyNumberFormat="1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18" fillId="0" borderId="61" xfId="0" applyNumberFormat="1" applyFon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8" xfId="0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63" xfId="0" applyFont="1" applyBorder="1" applyAlignment="1">
      <alignment/>
    </xf>
    <xf numFmtId="0" fontId="7" fillId="0" borderId="40" xfId="0" applyFont="1" applyBorder="1" applyAlignment="1">
      <alignment/>
    </xf>
    <xf numFmtId="1" fontId="5" fillId="0" borderId="63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1" fontId="10" fillId="4" borderId="28" xfId="0" applyNumberFormat="1" applyFont="1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68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1" fontId="6" fillId="0" borderId="44" xfId="0" applyNumberFormat="1" applyFont="1" applyBorder="1" applyAlignment="1">
      <alignment/>
    </xf>
    <xf numFmtId="0" fontId="6" fillId="0" borderId="44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29" xfId="0" applyFont="1" applyBorder="1" applyAlignment="1">
      <alignment/>
    </xf>
    <xf numFmtId="1" fontId="6" fillId="0" borderId="29" xfId="0" applyNumberFormat="1" applyFont="1" applyBorder="1" applyAlignment="1">
      <alignment/>
    </xf>
    <xf numFmtId="0" fontId="6" fillId="0" borderId="69" xfId="0" applyFont="1" applyBorder="1" applyAlignment="1">
      <alignment/>
    </xf>
    <xf numFmtId="1" fontId="0" fillId="0" borderId="18" xfId="0" applyNumberFormat="1" applyBorder="1" applyAlignment="1">
      <alignment/>
    </xf>
    <xf numFmtId="0" fontId="7" fillId="0" borderId="35" xfId="0" applyFont="1" applyBorder="1" applyAlignment="1">
      <alignment horizontal="centerContinuous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8" fillId="0" borderId="27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1" fontId="9" fillId="2" borderId="28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35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23" fillId="0" borderId="22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6" fillId="0" borderId="21" xfId="0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6" fillId="0" borderId="35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5" fillId="0" borderId="47" xfId="0" applyFont="1" applyBorder="1" applyAlignment="1">
      <alignment/>
    </xf>
    <xf numFmtId="0" fontId="7" fillId="0" borderId="44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7" fillId="0" borderId="44" xfId="0" applyFont="1" applyBorder="1" applyAlignment="1">
      <alignment horizontal="centerContinuous"/>
    </xf>
    <xf numFmtId="0" fontId="7" fillId="0" borderId="36" xfId="0" applyFont="1" applyBorder="1" applyAlignment="1">
      <alignment horizontal="centerContinuous"/>
    </xf>
    <xf numFmtId="0" fontId="5" fillId="0" borderId="44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7" xfId="0" applyBorder="1" applyAlignment="1">
      <alignment/>
    </xf>
    <xf numFmtId="0" fontId="8" fillId="0" borderId="22" xfId="0" applyFont="1" applyBorder="1" applyAlignment="1">
      <alignment/>
    </xf>
    <xf numFmtId="0" fontId="5" fillId="0" borderId="22" xfId="0" applyFont="1" applyBorder="1" applyAlignment="1">
      <alignment horizontal="centerContinuous"/>
    </xf>
    <xf numFmtId="0" fontId="8" fillId="0" borderId="22" xfId="0" applyFont="1" applyBorder="1" applyAlignment="1">
      <alignment/>
    </xf>
    <xf numFmtId="0" fontId="5" fillId="0" borderId="22" xfId="0" applyFont="1" applyBorder="1" applyAlignment="1">
      <alignment/>
    </xf>
    <xf numFmtId="1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54" xfId="0" applyBorder="1" applyAlignment="1">
      <alignment/>
    </xf>
    <xf numFmtId="164" fontId="13" fillId="0" borderId="3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0" fillId="0" borderId="63" xfId="0" applyBorder="1" applyAlignment="1">
      <alignment/>
    </xf>
    <xf numFmtId="0" fontId="13" fillId="0" borderId="0" xfId="0" applyFont="1" applyAlignment="1">
      <alignment horizontal="center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5\BALOGH\GAZDTERV\KIERT\2006\ki&#233;rt2006%20I-IIIn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ztbla"/>
      <sheetName val="össztábla"/>
      <sheetName val="ktgtábla"/>
      <sheetName val="községvíz"/>
      <sheetName val="községvízkiért"/>
      <sheetName val="Munka9"/>
      <sheetName val="Munka10"/>
      <sheetName val="Munka11"/>
      <sheetName val="Munka12"/>
      <sheetName val="Munka13"/>
      <sheetName val="Munka14"/>
      <sheetName val="Munka15"/>
      <sheetName val="Munka16"/>
    </sheetNames>
    <sheetDataSet>
      <sheetData sheetId="0">
        <row r="6">
          <cell r="E6">
            <v>510</v>
          </cell>
          <cell r="F6">
            <v>176</v>
          </cell>
        </row>
        <row r="8">
          <cell r="E8">
            <v>5258</v>
          </cell>
          <cell r="F8">
            <v>3640</v>
          </cell>
        </row>
        <row r="10">
          <cell r="E10">
            <v>9597</v>
          </cell>
          <cell r="F10">
            <v>7118</v>
          </cell>
        </row>
        <row r="12">
          <cell r="E12">
            <v>16</v>
          </cell>
          <cell r="F12">
            <v>18</v>
          </cell>
        </row>
        <row r="14">
          <cell r="E14">
            <v>80</v>
          </cell>
        </row>
        <row r="16">
          <cell r="E16">
            <v>7932</v>
          </cell>
          <cell r="F16">
            <v>6066</v>
          </cell>
        </row>
        <row r="18">
          <cell r="E18">
            <v>431</v>
          </cell>
          <cell r="F18">
            <v>386</v>
          </cell>
        </row>
        <row r="20">
          <cell r="E20">
            <v>2827</v>
          </cell>
          <cell r="F20">
            <v>2002</v>
          </cell>
        </row>
        <row r="22">
          <cell r="E22">
            <v>5500</v>
          </cell>
          <cell r="F22">
            <v>4372</v>
          </cell>
        </row>
        <row r="24">
          <cell r="E24">
            <v>3000</v>
          </cell>
          <cell r="F24">
            <v>1440</v>
          </cell>
        </row>
        <row r="26">
          <cell r="E26">
            <v>2000</v>
          </cell>
        </row>
        <row r="30">
          <cell r="E30">
            <v>11293</v>
          </cell>
          <cell r="F30">
            <v>7126</v>
          </cell>
        </row>
        <row r="32">
          <cell r="E32">
            <v>864</v>
          </cell>
          <cell r="F32">
            <v>492</v>
          </cell>
        </row>
        <row r="36">
          <cell r="E36">
            <v>300</v>
          </cell>
        </row>
        <row r="38">
          <cell r="E38">
            <v>0</v>
          </cell>
        </row>
        <row r="42">
          <cell r="E42">
            <v>2600</v>
          </cell>
          <cell r="F42">
            <v>1950</v>
          </cell>
        </row>
        <row r="43">
          <cell r="E43">
            <v>4596</v>
          </cell>
          <cell r="F43">
            <v>3447</v>
          </cell>
        </row>
        <row r="45">
          <cell r="E45">
            <v>56828</v>
          </cell>
          <cell r="F45">
            <v>40536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workbookViewId="0" topLeftCell="A33">
      <selection activeCell="B33" sqref="B33:P56"/>
    </sheetView>
  </sheetViews>
  <sheetFormatPr defaultColWidth="9.00390625" defaultRowHeight="12.75"/>
  <cols>
    <col min="1" max="1" width="2.875" style="0" customWidth="1"/>
    <col min="5" max="5" width="3.75390625" style="0" customWidth="1"/>
    <col min="6" max="6" width="13.25390625" style="0" customWidth="1"/>
    <col min="7" max="7" width="1.12109375" style="0" customWidth="1"/>
    <col min="8" max="8" width="10.00390625" style="0" customWidth="1"/>
    <col min="10" max="10" width="10.00390625" style="0" customWidth="1"/>
    <col min="11" max="11" width="1.625" style="0" customWidth="1"/>
    <col min="15" max="15" width="1.25" style="0" customWidth="1"/>
    <col min="16" max="16" width="24.125" style="0" customWidth="1"/>
  </cols>
  <sheetData>
    <row r="2" spans="1:16" ht="12.75">
      <c r="A2" s="7" t="s">
        <v>0</v>
      </c>
      <c r="P2" s="127" t="s">
        <v>248</v>
      </c>
    </row>
    <row r="3" spans="3:15" ht="26.25">
      <c r="C3" s="8" t="s">
        <v>1</v>
      </c>
      <c r="H3" s="1"/>
      <c r="J3" s="8" t="s">
        <v>214</v>
      </c>
      <c r="O3" s="8"/>
    </row>
    <row r="4" ht="23.25">
      <c r="H4" s="1"/>
    </row>
    <row r="5" ht="13.5" thickBot="1"/>
    <row r="6" spans="1:16" ht="13.5" thickBot="1">
      <c r="A6" s="98"/>
      <c r="B6" s="99"/>
      <c r="C6" s="99"/>
      <c r="D6" s="99"/>
      <c r="E6" s="99"/>
      <c r="F6" s="225" t="s">
        <v>271</v>
      </c>
      <c r="G6" s="99"/>
      <c r="H6" s="226" t="s">
        <v>276</v>
      </c>
      <c r="I6" s="227" t="s">
        <v>272</v>
      </c>
      <c r="J6" s="228" t="s">
        <v>273</v>
      </c>
      <c r="K6" s="99"/>
      <c r="L6" s="226" t="s">
        <v>277</v>
      </c>
      <c r="M6" s="227" t="s">
        <v>274</v>
      </c>
      <c r="N6" s="228" t="s">
        <v>275</v>
      </c>
      <c r="O6" s="99"/>
      <c r="P6" s="229"/>
    </row>
    <row r="7" spans="1:16" s="2" customFormat="1" ht="15.75">
      <c r="A7" s="191" t="s">
        <v>251</v>
      </c>
      <c r="B7" s="12" t="s">
        <v>2</v>
      </c>
      <c r="C7" s="13"/>
      <c r="D7" s="13"/>
      <c r="E7" s="13"/>
      <c r="F7" s="208" t="s">
        <v>253</v>
      </c>
      <c r="G7" s="13"/>
      <c r="H7" s="215" t="s">
        <v>263</v>
      </c>
      <c r="I7" s="216"/>
      <c r="J7" s="31"/>
      <c r="K7" s="13"/>
      <c r="L7" s="29"/>
      <c r="M7" s="30" t="s">
        <v>264</v>
      </c>
      <c r="N7" s="31"/>
      <c r="O7" s="12"/>
      <c r="P7" s="230" t="s">
        <v>252</v>
      </c>
    </row>
    <row r="8" spans="1:16" s="2" customFormat="1" ht="15">
      <c r="A8" s="21"/>
      <c r="B8" s="14"/>
      <c r="C8" s="14"/>
      <c r="D8" s="14"/>
      <c r="E8" s="14"/>
      <c r="F8" s="209" t="s">
        <v>254</v>
      </c>
      <c r="G8" s="186"/>
      <c r="H8" s="217" t="s">
        <v>269</v>
      </c>
      <c r="I8" s="199" t="s">
        <v>268</v>
      </c>
      <c r="J8" s="218" t="s">
        <v>265</v>
      </c>
      <c r="K8" s="14"/>
      <c r="L8" s="221" t="s">
        <v>278</v>
      </c>
      <c r="M8" s="199" t="s">
        <v>266</v>
      </c>
      <c r="N8" s="222" t="s">
        <v>267</v>
      </c>
      <c r="O8" s="15"/>
      <c r="P8" s="231" t="s">
        <v>318</v>
      </c>
    </row>
    <row r="9" spans="1:16" s="2" customFormat="1" ht="15">
      <c r="A9" s="21"/>
      <c r="B9" s="14"/>
      <c r="C9" s="14"/>
      <c r="D9" s="14"/>
      <c r="E9" s="14"/>
      <c r="F9" s="209" t="s">
        <v>255</v>
      </c>
      <c r="G9" s="14"/>
      <c r="H9" s="185" t="s">
        <v>258</v>
      </c>
      <c r="I9" s="32" t="s">
        <v>259</v>
      </c>
      <c r="J9" s="182" t="s">
        <v>256</v>
      </c>
      <c r="K9" s="14"/>
      <c r="L9" s="21" t="s">
        <v>261</v>
      </c>
      <c r="M9" s="189" t="s">
        <v>280</v>
      </c>
      <c r="N9" s="22" t="s">
        <v>260</v>
      </c>
      <c r="O9" s="15"/>
      <c r="P9" s="231"/>
    </row>
    <row r="10" spans="1:16" s="2" customFormat="1" ht="15.75">
      <c r="A10" s="23"/>
      <c r="B10" s="16"/>
      <c r="C10" s="16"/>
      <c r="D10" s="16"/>
      <c r="E10" s="16"/>
      <c r="F10" s="210" t="s">
        <v>314</v>
      </c>
      <c r="G10" s="16"/>
      <c r="H10" s="184" t="s">
        <v>270</v>
      </c>
      <c r="I10" s="32" t="s">
        <v>257</v>
      </c>
      <c r="J10" s="183" t="s">
        <v>257</v>
      </c>
      <c r="K10" s="16"/>
      <c r="L10" s="187" t="s">
        <v>257</v>
      </c>
      <c r="M10" s="188" t="s">
        <v>262</v>
      </c>
      <c r="N10" s="24"/>
      <c r="O10" s="15"/>
      <c r="P10" s="232" t="s">
        <v>287</v>
      </c>
    </row>
    <row r="11" spans="1:16" s="2" customFormat="1" ht="15.75">
      <c r="A11" s="23"/>
      <c r="B11" s="207"/>
      <c r="C11" s="207" t="s">
        <v>315</v>
      </c>
      <c r="D11" s="207"/>
      <c r="E11" s="165"/>
      <c r="F11" s="211" t="s">
        <v>283</v>
      </c>
      <c r="G11" s="16"/>
      <c r="H11" s="219"/>
      <c r="I11" s="213" t="s">
        <v>281</v>
      </c>
      <c r="J11" s="220" t="s">
        <v>282</v>
      </c>
      <c r="K11" s="16"/>
      <c r="L11" s="223"/>
      <c r="M11" s="214"/>
      <c r="N11" s="224" t="s">
        <v>279</v>
      </c>
      <c r="O11" s="15"/>
      <c r="P11" s="233" t="s">
        <v>321</v>
      </c>
    </row>
    <row r="12" spans="1:16" s="2" customFormat="1" ht="15.75" thickBot="1">
      <c r="A12" s="23"/>
      <c r="B12" s="16"/>
      <c r="C12" s="16"/>
      <c r="D12" s="16"/>
      <c r="E12" s="16"/>
      <c r="F12" s="212" t="s">
        <v>4</v>
      </c>
      <c r="G12" s="16"/>
      <c r="H12" s="26" t="s">
        <v>4</v>
      </c>
      <c r="I12" s="190" t="s">
        <v>4</v>
      </c>
      <c r="J12" s="27" t="s">
        <v>4</v>
      </c>
      <c r="K12" s="16"/>
      <c r="L12" s="26" t="s">
        <v>4</v>
      </c>
      <c r="M12" s="33" t="s">
        <v>4</v>
      </c>
      <c r="N12" s="27" t="s">
        <v>4</v>
      </c>
      <c r="O12" s="15"/>
      <c r="P12" s="233" t="s">
        <v>322</v>
      </c>
    </row>
    <row r="13" spans="1:16" s="2" customFormat="1" ht="19.5" customHeight="1">
      <c r="A13" s="192">
        <v>1</v>
      </c>
      <c r="B13" s="164" t="s">
        <v>5</v>
      </c>
      <c r="C13" s="165"/>
      <c r="D13" s="166"/>
      <c r="E13" s="168"/>
      <c r="F13" s="169">
        <f>vizkészletdíj</f>
        <v>11301.74</v>
      </c>
      <c r="G13" s="17"/>
      <c r="H13" s="25"/>
      <c r="I13" s="53">
        <f>vizkészletdíj*tömbtermarány/100</f>
        <v>8928.3746</v>
      </c>
      <c r="J13" s="202">
        <f aca="true" t="shared" si="0" ref="J13:J19">SUM(H13:I13)</f>
        <v>8928.3746</v>
      </c>
      <c r="K13" s="17"/>
      <c r="L13" s="25">
        <f>vizkészletdíj-M13</f>
        <v>8928.3746</v>
      </c>
      <c r="M13" s="53">
        <f>vizkészletdíj*egyébtermálarány/100</f>
        <v>2373.3654</v>
      </c>
      <c r="N13" s="55">
        <f>vizkészletdíj</f>
        <v>11301.74</v>
      </c>
      <c r="O13" s="18"/>
      <c r="P13" s="234"/>
    </row>
    <row r="14" spans="1:16" s="2" customFormat="1" ht="19.5" customHeight="1">
      <c r="A14" s="193">
        <v>2</v>
      </c>
      <c r="B14" s="167" t="s">
        <v>6</v>
      </c>
      <c r="C14" s="166"/>
      <c r="D14" s="166"/>
      <c r="E14" s="168"/>
      <c r="F14" s="170">
        <f>bányaösszeg</f>
        <v>789.1480687999998</v>
      </c>
      <c r="G14" s="17"/>
      <c r="H14" s="25"/>
      <c r="I14" s="53">
        <f>bányaösszeg*tömbtermarány/100</f>
        <v>623.4269743519998</v>
      </c>
      <c r="J14" s="203">
        <f t="shared" si="0"/>
        <v>623.4269743519998</v>
      </c>
      <c r="K14" s="17"/>
      <c r="L14" s="25">
        <f>bányaösszeg-M14</f>
        <v>623.4269743519999</v>
      </c>
      <c r="M14" s="53">
        <f>bányaösszeg*egyébtermálarány/100</f>
        <v>165.72109444799997</v>
      </c>
      <c r="N14" s="56">
        <f>bányaösszeg</f>
        <v>789.1480687999998</v>
      </c>
      <c r="O14" s="18"/>
      <c r="P14" s="232" t="s">
        <v>286</v>
      </c>
    </row>
    <row r="15" spans="1:16" s="2" customFormat="1" ht="19.5" customHeight="1">
      <c r="A15" s="194">
        <v>3</v>
      </c>
      <c r="B15" s="167" t="s">
        <v>7</v>
      </c>
      <c r="C15" s="166"/>
      <c r="D15" s="166"/>
      <c r="E15" s="168"/>
      <c r="F15" s="170">
        <f>tömbvilldíj+termvilldíj</f>
        <v>5802.3608</v>
      </c>
      <c r="G15" s="17"/>
      <c r="H15" s="25">
        <f>tömbvilldíj</f>
        <v>3420.846</v>
      </c>
      <c r="I15" s="53">
        <f>termvilldíj*tömbtermarány/100</f>
        <v>1881.3966920000003</v>
      </c>
      <c r="J15" s="203">
        <f t="shared" si="0"/>
        <v>5302.242692</v>
      </c>
      <c r="K15" s="17"/>
      <c r="L15" s="25">
        <f>termvilldíj-M15</f>
        <v>1881.3966920000003</v>
      </c>
      <c r="M15" s="53">
        <f>termvilldíj*egyébtermálarány/100</f>
        <v>500.11810800000006</v>
      </c>
      <c r="N15" s="56">
        <f>termvilldíj</f>
        <v>2381.5148000000004</v>
      </c>
      <c r="O15" s="18"/>
      <c r="P15" s="233" t="s">
        <v>319</v>
      </c>
    </row>
    <row r="16" spans="1:16" s="2" customFormat="1" ht="19.5" customHeight="1">
      <c r="A16" s="195">
        <v>4</v>
      </c>
      <c r="B16" s="167" t="s">
        <v>8</v>
      </c>
      <c r="C16" s="166"/>
      <c r="D16" s="166"/>
      <c r="E16" s="168"/>
      <c r="F16" s="170">
        <f>gázköltség</f>
        <v>12732.1700500304</v>
      </c>
      <c r="G16" s="17"/>
      <c r="H16" s="25">
        <f>gázköltség</f>
        <v>12732.1700500304</v>
      </c>
      <c r="I16" s="53"/>
      <c r="J16" s="203">
        <f t="shared" si="0"/>
        <v>12732.1700500304</v>
      </c>
      <c r="K16" s="17"/>
      <c r="L16" s="25"/>
      <c r="M16" s="53"/>
      <c r="N16" s="56"/>
      <c r="O16" s="18"/>
      <c r="P16" s="233" t="s">
        <v>320</v>
      </c>
    </row>
    <row r="17" spans="1:16" s="2" customFormat="1" ht="19.5" customHeight="1">
      <c r="A17" s="195">
        <v>5</v>
      </c>
      <c r="B17" s="167" t="s">
        <v>9</v>
      </c>
      <c r="C17" s="166"/>
      <c r="D17" s="166"/>
      <c r="E17" s="168"/>
      <c r="F17" s="170">
        <f>tömbammort</f>
        <v>5800</v>
      </c>
      <c r="G17" s="17"/>
      <c r="H17" s="25">
        <f>tömbammort</f>
        <v>5800</v>
      </c>
      <c r="I17" s="53"/>
      <c r="J17" s="203">
        <f t="shared" si="0"/>
        <v>5800</v>
      </c>
      <c r="K17" s="17"/>
      <c r="L17" s="25"/>
      <c r="M17" s="53"/>
      <c r="N17" s="56"/>
      <c r="O17" s="18"/>
      <c r="P17" s="235"/>
    </row>
    <row r="18" spans="1:16" s="2" customFormat="1" ht="19.5" customHeight="1">
      <c r="A18" s="195">
        <v>6</v>
      </c>
      <c r="B18" s="167" t="s">
        <v>10</v>
      </c>
      <c r="C18" s="166"/>
      <c r="D18" s="166"/>
      <c r="E18" s="168"/>
      <c r="F18" s="170">
        <f>termammort</f>
        <v>1911</v>
      </c>
      <c r="G18" s="17"/>
      <c r="H18" s="25"/>
      <c r="I18" s="53">
        <f>termammort*tömbtermarány/100</f>
        <v>1509.69</v>
      </c>
      <c r="J18" s="203">
        <f t="shared" si="0"/>
        <v>1509.69</v>
      </c>
      <c r="K18" s="17"/>
      <c r="L18" s="25">
        <f>termammort-M18</f>
        <v>1509.69</v>
      </c>
      <c r="M18" s="53">
        <f>termammort*egyébtermálarány/100</f>
        <v>401.31</v>
      </c>
      <c r="N18" s="56">
        <f>termammort</f>
        <v>1911</v>
      </c>
      <c r="O18" s="18"/>
      <c r="P18" s="232" t="s">
        <v>288</v>
      </c>
    </row>
    <row r="19" spans="1:16" s="2" customFormat="1" ht="19.5" customHeight="1">
      <c r="A19" s="195">
        <v>7</v>
      </c>
      <c r="B19" s="167" t="s">
        <v>11</v>
      </c>
      <c r="C19" s="166"/>
      <c r="D19" s="166"/>
      <c r="E19" s="168"/>
      <c r="F19" s="170">
        <f>tömbanyag+kútanyag</f>
        <v>600</v>
      </c>
      <c r="G19" s="17"/>
      <c r="H19" s="25">
        <f>tömbanyag</f>
        <v>400</v>
      </c>
      <c r="I19" s="53">
        <f>L19</f>
        <v>158</v>
      </c>
      <c r="J19" s="203">
        <f t="shared" si="0"/>
        <v>558</v>
      </c>
      <c r="K19" s="17"/>
      <c r="L19" s="25">
        <f>kútanyag-M19</f>
        <v>158</v>
      </c>
      <c r="M19" s="53">
        <f>kútanyag*egyébtermálarány/100</f>
        <v>42</v>
      </c>
      <c r="N19" s="56">
        <f>kútanyag</f>
        <v>200</v>
      </c>
      <c r="O19" s="18"/>
      <c r="P19" s="233" t="s">
        <v>323</v>
      </c>
    </row>
    <row r="20" spans="1:16" s="2" customFormat="1" ht="19.5" customHeight="1">
      <c r="A20" s="195">
        <v>8</v>
      </c>
      <c r="B20" s="167" t="s">
        <v>165</v>
      </c>
      <c r="C20" s="166"/>
      <c r="D20" s="166"/>
      <c r="E20" s="168"/>
      <c r="F20" s="170">
        <f>szolgáltat</f>
        <v>2718</v>
      </c>
      <c r="G20" s="17"/>
      <c r="H20" s="25">
        <f>F20</f>
        <v>2718</v>
      </c>
      <c r="I20" s="53"/>
      <c r="J20" s="203">
        <f>H20</f>
        <v>2718</v>
      </c>
      <c r="K20" s="17"/>
      <c r="L20" s="25"/>
      <c r="M20" s="53"/>
      <c r="N20" s="56"/>
      <c r="O20" s="18"/>
      <c r="P20" s="233" t="s">
        <v>324</v>
      </c>
    </row>
    <row r="21" spans="1:16" s="2" customFormat="1" ht="19.5" customHeight="1">
      <c r="A21" s="196">
        <v>9</v>
      </c>
      <c r="B21" s="167" t="s">
        <v>12</v>
      </c>
      <c r="C21" s="166"/>
      <c r="D21" s="166"/>
      <c r="E21" s="168"/>
      <c r="F21" s="170">
        <f>összesbér</f>
        <v>8748</v>
      </c>
      <c r="G21" s="17"/>
      <c r="H21" s="25">
        <f>J21-I21</f>
        <v>6566.8</v>
      </c>
      <c r="I21" s="53">
        <f>termálbér*tömbtermarány/100</f>
        <v>1723.148</v>
      </c>
      <c r="J21" s="203">
        <f>összesbér-M21</f>
        <v>8289.948</v>
      </c>
      <c r="K21" s="17"/>
      <c r="L21" s="25">
        <f>termálbér-M21</f>
        <v>1723.148</v>
      </c>
      <c r="M21" s="53">
        <f>termálbér*egyébtermálarány/100</f>
        <v>458.05199999999996</v>
      </c>
      <c r="N21" s="56">
        <f>termálbér</f>
        <v>2181.2</v>
      </c>
      <c r="O21" s="18"/>
      <c r="P21" s="235"/>
    </row>
    <row r="22" spans="1:16" s="2" customFormat="1" ht="19.5" customHeight="1">
      <c r="A22" s="195">
        <v>10</v>
      </c>
      <c r="B22" s="167" t="s">
        <v>13</v>
      </c>
      <c r="C22" s="166"/>
      <c r="D22" s="166"/>
      <c r="E22" s="168"/>
      <c r="F22" s="170">
        <f>összesbér*bérjárulék/100</f>
        <v>2939.328</v>
      </c>
      <c r="G22" s="17"/>
      <c r="H22" s="25">
        <f>F22-N22</f>
        <v>2369.098368</v>
      </c>
      <c r="I22" s="53">
        <f aca="true" t="shared" si="1" ref="I22:I27">L22</f>
        <v>450.48140928</v>
      </c>
      <c r="J22" s="203">
        <f aca="true" t="shared" si="2" ref="J22:J27">SUM(H22:I22)</f>
        <v>2819.5797772799997</v>
      </c>
      <c r="K22" s="17"/>
      <c r="L22" s="25">
        <f>N22*tömbtermarány/100</f>
        <v>450.48140928</v>
      </c>
      <c r="M22" s="53">
        <f>N22*egyébtermálarány/100</f>
        <v>119.74822272000002</v>
      </c>
      <c r="N22" s="56">
        <f>F22*0.194</f>
        <v>570.229632</v>
      </c>
      <c r="O22" s="18"/>
      <c r="P22" s="235"/>
    </row>
    <row r="23" spans="1:16" s="2" customFormat="1" ht="19.5" customHeight="1">
      <c r="A23" s="195">
        <v>11</v>
      </c>
      <c r="B23" s="167" t="s">
        <v>131</v>
      </c>
      <c r="C23" s="166"/>
      <c r="D23" s="166"/>
      <c r="E23" s="168"/>
      <c r="F23" s="170">
        <f>személyi</f>
        <v>550</v>
      </c>
      <c r="G23" s="17"/>
      <c r="H23" s="25">
        <f>személyi-N23</f>
        <v>480</v>
      </c>
      <c r="I23" s="53">
        <f t="shared" si="1"/>
        <v>55.3</v>
      </c>
      <c r="J23" s="203">
        <f t="shared" si="2"/>
        <v>535.3</v>
      </c>
      <c r="K23" s="17"/>
      <c r="L23" s="60">
        <f>N23*tömbtermarány/100</f>
        <v>55.3</v>
      </c>
      <c r="M23" s="16">
        <f>N23*egyébtermálarány/100</f>
        <v>14.7</v>
      </c>
      <c r="N23" s="56">
        <v>70</v>
      </c>
      <c r="O23" s="18"/>
      <c r="P23" s="236"/>
    </row>
    <row r="24" spans="1:16" s="2" customFormat="1" ht="19.5" customHeight="1">
      <c r="A24" s="195">
        <v>12</v>
      </c>
      <c r="B24" s="167" t="s">
        <v>144</v>
      </c>
      <c r="C24" s="166"/>
      <c r="D24" s="166"/>
      <c r="E24" s="168"/>
      <c r="F24" s="170">
        <f>ráfordit</f>
        <v>300</v>
      </c>
      <c r="G24" s="17"/>
      <c r="H24" s="25">
        <f>F24*0.8</f>
        <v>240</v>
      </c>
      <c r="I24" s="53">
        <f t="shared" si="1"/>
        <v>47.4</v>
      </c>
      <c r="J24" s="203">
        <f t="shared" si="2"/>
        <v>287.4</v>
      </c>
      <c r="K24" s="17"/>
      <c r="L24" s="60">
        <f>N24*tömbtermarány/100</f>
        <v>47.4</v>
      </c>
      <c r="M24" s="16">
        <f>N24*egyébtermálarány/100</f>
        <v>12.6</v>
      </c>
      <c r="N24" s="56">
        <f>F24-H24</f>
        <v>60</v>
      </c>
      <c r="O24" s="18"/>
      <c r="P24" s="236"/>
    </row>
    <row r="25" spans="1:16" s="2" customFormat="1" ht="19.5" customHeight="1">
      <c r="A25" s="195">
        <v>13</v>
      </c>
      <c r="B25" s="167" t="s">
        <v>135</v>
      </c>
      <c r="C25" s="166"/>
      <c r="D25" s="166"/>
      <c r="E25" s="168"/>
      <c r="F25" s="170">
        <f>üzemiált</f>
        <v>2812</v>
      </c>
      <c r="G25" s="17"/>
      <c r="H25" s="25">
        <f>üzemiált-M25-I25</f>
        <v>2110.864380429812</v>
      </c>
      <c r="I25" s="53">
        <f t="shared" si="1"/>
        <v>553.8971394604481</v>
      </c>
      <c r="J25" s="203">
        <f t="shared" si="2"/>
        <v>2664.7615198902604</v>
      </c>
      <c r="K25" s="17"/>
      <c r="L25" s="25">
        <f>üzemiált*(termálbér/összesbér)-M25</f>
        <v>553.8971394604481</v>
      </c>
      <c r="M25" s="53">
        <f>üzemiált*(termálbér/összesbér)*egyébtermálarány/100</f>
        <v>147.23848010973938</v>
      </c>
      <c r="N25" s="56">
        <f>üzemiált*(termálbér/összesbér)</f>
        <v>701.1356195701875</v>
      </c>
      <c r="O25" s="18"/>
      <c r="P25" s="236"/>
    </row>
    <row r="26" spans="1:16" s="2" customFormat="1" ht="19.5" customHeight="1">
      <c r="A26" s="195">
        <v>14</v>
      </c>
      <c r="B26" s="167" t="s">
        <v>136</v>
      </c>
      <c r="C26" s="166"/>
      <c r="D26" s="166"/>
      <c r="E26" s="168"/>
      <c r="F26" s="170">
        <f>vállált</f>
        <v>4971</v>
      </c>
      <c r="G26" s="17"/>
      <c r="H26" s="25">
        <f>vállált-I26-M26</f>
        <v>3731.5458161865567</v>
      </c>
      <c r="I26" s="53">
        <f t="shared" si="1"/>
        <v>979.16880521262</v>
      </c>
      <c r="J26" s="203">
        <f t="shared" si="2"/>
        <v>4710.714621399176</v>
      </c>
      <c r="K26" s="17"/>
      <c r="L26" s="25">
        <f>vállált*(termálbér/összesbér)-M26</f>
        <v>979.16880521262</v>
      </c>
      <c r="M26" s="53">
        <f>vállált*(termálbér/összesbér)*egyébtermálarány/100</f>
        <v>260.28537860082304</v>
      </c>
      <c r="N26" s="56">
        <f>vállált*(termálbér/összesbér)</f>
        <v>1239.454183813443</v>
      </c>
      <c r="O26" s="18"/>
      <c r="P26" s="236"/>
    </row>
    <row r="27" spans="1:16" s="2" customFormat="1" ht="19.5" customHeight="1" thickBot="1">
      <c r="A27" s="195">
        <v>15</v>
      </c>
      <c r="B27" s="167" t="s">
        <v>14</v>
      </c>
      <c r="C27" s="166"/>
      <c r="D27" s="166"/>
      <c r="E27" s="168"/>
      <c r="F27" s="171">
        <f>J27+M27</f>
        <v>1239.494938376608</v>
      </c>
      <c r="G27" s="17"/>
      <c r="H27" s="25">
        <f>SUM(H13:H26)*tömbnyereség/100</f>
        <v>811.3864922929353</v>
      </c>
      <c r="I27" s="53">
        <f t="shared" si="1"/>
        <v>338.20567240610137</v>
      </c>
      <c r="J27" s="203">
        <f t="shared" si="2"/>
        <v>1149.5921646990366</v>
      </c>
      <c r="K27" s="17"/>
      <c r="L27" s="25">
        <f>SUM(L13:L26)*termálnyereség/100</f>
        <v>338.20567240610137</v>
      </c>
      <c r="M27" s="53">
        <f>SUM(M13:M26)*termálnyereség/100</f>
        <v>89.90277367757125</v>
      </c>
      <c r="N27" s="56">
        <f>SUM(N13:N26)*termálnyereség/100</f>
        <v>428.1084460836726</v>
      </c>
      <c r="O27" s="18"/>
      <c r="P27" s="235"/>
    </row>
    <row r="28" spans="1:16" s="2" customFormat="1" ht="19.5" customHeight="1" thickBot="1">
      <c r="A28" s="197">
        <v>16</v>
      </c>
      <c r="B28" s="167" t="s">
        <v>15</v>
      </c>
      <c r="C28" s="166"/>
      <c r="D28" s="166"/>
      <c r="E28" s="168"/>
      <c r="F28" s="172">
        <f>SUM(F13:F27)</f>
        <v>63214.24185720701</v>
      </c>
      <c r="G28" s="17"/>
      <c r="H28" s="28">
        <f>SUM(H13:H27)</f>
        <v>41380.7111069397</v>
      </c>
      <c r="I28" s="54">
        <f>SUM(I13:I27)</f>
        <v>17248.48929271117</v>
      </c>
      <c r="J28" s="204">
        <f>SUM(J13:J27)</f>
        <v>58629.20039965088</v>
      </c>
      <c r="K28" s="17"/>
      <c r="L28" s="28">
        <f>SUM(L13:L27)</f>
        <v>17248.48929271117</v>
      </c>
      <c r="M28" s="54">
        <f>SUM(M13:M27)</f>
        <v>4585.0414575561335</v>
      </c>
      <c r="N28" s="57">
        <f>SUM(N13:N27)</f>
        <v>21833.530750267302</v>
      </c>
      <c r="O28" s="18"/>
      <c r="P28" s="237"/>
    </row>
    <row r="29" spans="1:16" ht="13.5" thickBot="1">
      <c r="A29" s="18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8"/>
      <c r="P29" s="181"/>
    </row>
    <row r="30" ht="12.75">
      <c r="O30" s="6"/>
    </row>
    <row r="31" ht="12.75">
      <c r="O31" s="6"/>
    </row>
    <row r="32" ht="12.75">
      <c r="O32" s="6"/>
    </row>
    <row r="33" spans="15:16" ht="12.75">
      <c r="O33" s="6"/>
      <c r="P33" t="s">
        <v>148</v>
      </c>
    </row>
    <row r="34" spans="2:6" ht="12.75">
      <c r="B34" s="7" t="s">
        <v>329</v>
      </c>
      <c r="F34" s="7" t="s">
        <v>330</v>
      </c>
    </row>
    <row r="37" spans="2:10" ht="26.25">
      <c r="B37" s="241" t="s">
        <v>213</v>
      </c>
      <c r="C37" s="241"/>
      <c r="D37" s="241"/>
      <c r="E37" s="241"/>
      <c r="F37" s="241"/>
      <c r="G37" s="241"/>
      <c r="H37" s="241"/>
      <c r="I37" s="241"/>
      <c r="J37" s="241"/>
    </row>
    <row r="39" ht="13.5" thickBot="1"/>
    <row r="40" spans="2:12" ht="21" customHeight="1" thickTop="1">
      <c r="B40" s="59" t="s">
        <v>137</v>
      </c>
      <c r="G40" s="9" t="s">
        <v>16</v>
      </c>
      <c r="H40" s="10"/>
      <c r="I40" s="41"/>
      <c r="J40" s="11" t="s">
        <v>17</v>
      </c>
      <c r="L40" s="58"/>
    </row>
    <row r="41" spans="7:10" ht="13.5" thickBot="1">
      <c r="G41" s="37" t="s">
        <v>18</v>
      </c>
      <c r="H41" s="38"/>
      <c r="I41" s="42"/>
      <c r="J41" s="39" t="s">
        <v>18</v>
      </c>
    </row>
    <row r="42" spans="2:10" ht="12.75">
      <c r="B42" s="98"/>
      <c r="C42" s="99"/>
      <c r="D42" s="99"/>
      <c r="E42" s="99"/>
      <c r="F42" s="176"/>
      <c r="G42" s="45"/>
      <c r="I42" s="43"/>
      <c r="J42" s="36"/>
    </row>
    <row r="43" spans="1:13" ht="19.5" customHeight="1">
      <c r="A43" s="83">
        <v>17</v>
      </c>
      <c r="B43" s="177" t="s">
        <v>19</v>
      </c>
      <c r="C43" s="15"/>
      <c r="D43" s="15"/>
      <c r="E43" s="15"/>
      <c r="F43" s="178" t="s">
        <v>20</v>
      </c>
      <c r="G43" s="45"/>
      <c r="H43" s="102">
        <f>fűtalapdíj</f>
        <v>202.7932898779328</v>
      </c>
      <c r="I43" s="43"/>
      <c r="J43" s="36"/>
      <c r="L43" s="61"/>
      <c r="M43" s="62"/>
    </row>
    <row r="44" spans="2:13" ht="18">
      <c r="B44" s="45"/>
      <c r="C44" s="15"/>
      <c r="D44" s="15"/>
      <c r="E44" s="15"/>
      <c r="F44" s="179"/>
      <c r="G44" s="45"/>
      <c r="H44" s="40"/>
      <c r="I44" s="43"/>
      <c r="J44" s="36"/>
      <c r="L44" s="61"/>
      <c r="M44" s="61"/>
    </row>
    <row r="45" spans="1:13" ht="19.5" customHeight="1">
      <c r="A45" s="83">
        <v>18</v>
      </c>
      <c r="B45" s="177" t="s">
        <v>21</v>
      </c>
      <c r="C45" s="15"/>
      <c r="D45" s="15"/>
      <c r="E45" s="15"/>
      <c r="F45" s="178" t="s">
        <v>20</v>
      </c>
      <c r="G45" s="45"/>
      <c r="H45" s="102">
        <f>hmvalapdíj</f>
        <v>78.86405717475162</v>
      </c>
      <c r="I45" s="43"/>
      <c r="J45" s="36"/>
      <c r="L45" s="61"/>
      <c r="M45" s="62"/>
    </row>
    <row r="46" spans="2:13" ht="18">
      <c r="B46" s="45"/>
      <c r="C46" s="15"/>
      <c r="D46" s="15"/>
      <c r="E46" s="15"/>
      <c r="F46" s="179"/>
      <c r="G46" s="45"/>
      <c r="H46" s="40"/>
      <c r="I46" s="43"/>
      <c r="J46" s="36"/>
      <c r="L46" s="61"/>
      <c r="M46" s="61"/>
    </row>
    <row r="47" spans="1:13" ht="19.5" customHeight="1">
      <c r="A47" s="83">
        <v>19</v>
      </c>
      <c r="B47" s="177" t="s">
        <v>22</v>
      </c>
      <c r="C47" s="15"/>
      <c r="D47" s="15"/>
      <c r="E47" s="15"/>
      <c r="F47" s="178" t="s">
        <v>23</v>
      </c>
      <c r="G47" s="45"/>
      <c r="H47" s="102">
        <f>tömbárGJ</f>
        <v>1211.3725093054447</v>
      </c>
      <c r="I47" s="43"/>
      <c r="J47" s="36"/>
      <c r="L47" s="61"/>
      <c r="M47" s="62"/>
    </row>
    <row r="48" spans="2:13" ht="18" customHeight="1">
      <c r="B48" s="45"/>
      <c r="C48" s="15"/>
      <c r="D48" s="15"/>
      <c r="E48" s="15"/>
      <c r="F48" s="179"/>
      <c r="G48" s="45"/>
      <c r="H48" s="40"/>
      <c r="I48" s="43"/>
      <c r="J48" s="36"/>
      <c r="L48" s="61"/>
      <c r="M48" s="61"/>
    </row>
    <row r="49" spans="1:13" ht="19.5" customHeight="1">
      <c r="A49" s="83">
        <v>20</v>
      </c>
      <c r="B49" s="177" t="s">
        <v>24</v>
      </c>
      <c r="C49" s="15"/>
      <c r="D49" s="15"/>
      <c r="E49" s="15"/>
      <c r="F49" s="178" t="s">
        <v>25</v>
      </c>
      <c r="G49" s="45"/>
      <c r="H49" s="102">
        <f>hmvhődíj</f>
        <v>365.43261487072357</v>
      </c>
      <c r="I49" s="43"/>
      <c r="J49" s="36"/>
      <c r="L49" s="61"/>
      <c r="M49" s="62"/>
    </row>
    <row r="50" spans="2:13" ht="20.25" customHeight="1">
      <c r="B50" s="45"/>
      <c r="C50" s="15"/>
      <c r="D50" s="15"/>
      <c r="E50" s="15"/>
      <c r="F50" s="179"/>
      <c r="G50" s="45"/>
      <c r="I50" s="43"/>
      <c r="J50" s="36"/>
      <c r="L50" s="61"/>
      <c r="M50" s="61"/>
    </row>
    <row r="51" spans="1:13" ht="19.5" customHeight="1">
      <c r="A51" s="83">
        <v>21</v>
      </c>
      <c r="B51" s="177" t="s">
        <v>26</v>
      </c>
      <c r="C51" s="15"/>
      <c r="D51" s="15"/>
      <c r="E51" s="15"/>
      <c r="F51" s="178" t="s">
        <v>25</v>
      </c>
      <c r="G51" s="45"/>
      <c r="I51" s="43"/>
      <c r="J51" s="103">
        <f>termálár</f>
        <v>60.08126238378455</v>
      </c>
      <c r="L51" s="61"/>
      <c r="M51" s="62"/>
    </row>
    <row r="52" spans="2:10" ht="13.5" thickBot="1">
      <c r="B52" s="180"/>
      <c r="C52" s="38"/>
      <c r="D52" s="38"/>
      <c r="E52" s="38"/>
      <c r="F52" s="181"/>
      <c r="G52" s="46"/>
      <c r="H52" s="19"/>
      <c r="I52" s="44"/>
      <c r="J52" s="20"/>
    </row>
    <row r="54" ht="12.75">
      <c r="B54" t="s">
        <v>328</v>
      </c>
    </row>
  </sheetData>
  <mergeCells count="1">
    <mergeCell ref="B37:J3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3"/>
  <headerFooter alignWithMargins="0">
    <oddHeader>&amp;C&amp;F</oddHeader>
    <oddFooter>&amp;C&amp;A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7"/>
  <sheetViews>
    <sheetView tabSelected="1" workbookViewId="0" topLeftCell="A199">
      <selection activeCell="S204" sqref="S204"/>
    </sheetView>
  </sheetViews>
  <sheetFormatPr defaultColWidth="9.00390625" defaultRowHeight="12.75"/>
  <cols>
    <col min="1" max="1" width="3.875" style="0" customWidth="1"/>
    <col min="2" max="2" width="3.00390625" style="0" customWidth="1"/>
    <col min="3" max="3" width="5.75390625" style="0" customWidth="1"/>
    <col min="4" max="4" width="7.125" style="0" customWidth="1"/>
    <col min="5" max="10" width="5.75390625" style="0" customWidth="1"/>
    <col min="11" max="11" width="6.125" style="0" customWidth="1"/>
    <col min="12" max="12" width="5.75390625" style="0" customWidth="1"/>
    <col min="13" max="13" width="6.00390625" style="0" customWidth="1"/>
    <col min="14" max="16" width="5.75390625" style="0" customWidth="1"/>
    <col min="17" max="17" width="8.625" style="0" customWidth="1"/>
  </cols>
  <sheetData>
    <row r="1" ht="12.75">
      <c r="N1" s="127" t="s">
        <v>27</v>
      </c>
    </row>
    <row r="5" spans="2:3" ht="15.75">
      <c r="B5" s="48"/>
      <c r="C5" s="7" t="s">
        <v>284</v>
      </c>
    </row>
    <row r="6" spans="14:15" ht="12.75">
      <c r="N6" s="7" t="s">
        <v>28</v>
      </c>
      <c r="O6" s="7" t="s">
        <v>29</v>
      </c>
    </row>
    <row r="7" spans="1:16" ht="12.75">
      <c r="A7">
        <v>1</v>
      </c>
      <c r="B7" t="s">
        <v>285</v>
      </c>
      <c r="N7" s="47">
        <f>Q69</f>
        <v>363.4</v>
      </c>
      <c r="P7" t="s">
        <v>30</v>
      </c>
    </row>
    <row r="8" spans="1:16" ht="12.75">
      <c r="A8">
        <v>2</v>
      </c>
      <c r="B8" t="s">
        <v>31</v>
      </c>
      <c r="N8" s="5">
        <f>bányaGJ</f>
        <v>30351.848799999996</v>
      </c>
      <c r="P8" t="s">
        <v>32</v>
      </c>
    </row>
    <row r="9" spans="1:16" ht="12.75">
      <c r="A9">
        <v>3</v>
      </c>
      <c r="B9" t="s">
        <v>149</v>
      </c>
      <c r="N9" s="101">
        <v>31.1</v>
      </c>
      <c r="P9" t="s">
        <v>25</v>
      </c>
    </row>
    <row r="10" spans="1:16" ht="12.75">
      <c r="A10">
        <v>4</v>
      </c>
      <c r="B10" t="s">
        <v>33</v>
      </c>
      <c r="N10" s="3">
        <v>2</v>
      </c>
      <c r="P10" t="s">
        <v>34</v>
      </c>
    </row>
    <row r="11" spans="1:16" ht="12.75">
      <c r="A11">
        <v>5</v>
      </c>
      <c r="B11" t="s">
        <v>35</v>
      </c>
      <c r="N11" s="5">
        <f>bányaösszeg</f>
        <v>789.1480687999998</v>
      </c>
      <c r="P11" t="s">
        <v>4</v>
      </c>
    </row>
    <row r="12" spans="1:16" ht="12.75">
      <c r="A12">
        <v>6</v>
      </c>
      <c r="B12" t="s">
        <v>168</v>
      </c>
      <c r="N12" s="3">
        <v>8748</v>
      </c>
      <c r="P12" t="s">
        <v>4</v>
      </c>
    </row>
    <row r="13" spans="1:16" ht="12.75">
      <c r="A13">
        <v>7</v>
      </c>
      <c r="B13" t="s">
        <v>145</v>
      </c>
      <c r="N13" s="3">
        <v>33.6</v>
      </c>
      <c r="P13" t="s">
        <v>34</v>
      </c>
    </row>
    <row r="14" spans="1:16" ht="12.75">
      <c r="A14">
        <v>8</v>
      </c>
      <c r="B14" t="s">
        <v>130</v>
      </c>
      <c r="N14" s="3">
        <v>550</v>
      </c>
      <c r="P14" t="s">
        <v>4</v>
      </c>
    </row>
    <row r="15" spans="1:16" ht="12.75">
      <c r="A15">
        <v>9</v>
      </c>
      <c r="B15" t="s">
        <v>132</v>
      </c>
      <c r="N15" s="3">
        <v>2812</v>
      </c>
      <c r="P15" t="s">
        <v>4</v>
      </c>
    </row>
    <row r="16" spans="1:16" ht="12.75">
      <c r="A16">
        <v>10</v>
      </c>
      <c r="B16" t="s">
        <v>133</v>
      </c>
      <c r="N16" s="3">
        <v>4971</v>
      </c>
      <c r="P16" t="s">
        <v>4</v>
      </c>
    </row>
    <row r="17" spans="1:16" ht="12.75">
      <c r="A17">
        <v>11</v>
      </c>
      <c r="B17" t="s">
        <v>36</v>
      </c>
      <c r="N17" s="3">
        <v>1640</v>
      </c>
      <c r="P17" t="s">
        <v>37</v>
      </c>
    </row>
    <row r="18" spans="1:16" ht="12.75">
      <c r="A18">
        <v>12</v>
      </c>
      <c r="B18" t="s">
        <v>38</v>
      </c>
      <c r="H18" t="s">
        <v>286</v>
      </c>
      <c r="N18" s="3">
        <v>5800</v>
      </c>
      <c r="P18" t="s">
        <v>4</v>
      </c>
    </row>
    <row r="19" spans="1:16" ht="12.75">
      <c r="A19">
        <v>13</v>
      </c>
      <c r="B19" t="s">
        <v>39</v>
      </c>
      <c r="H19" t="s">
        <v>287</v>
      </c>
      <c r="N19" s="3">
        <v>1911</v>
      </c>
      <c r="P19" t="s">
        <v>4</v>
      </c>
    </row>
    <row r="20" spans="1:16" ht="12.75">
      <c r="A20">
        <v>14</v>
      </c>
      <c r="B20" t="s">
        <v>201</v>
      </c>
      <c r="N20" s="3">
        <v>1300</v>
      </c>
      <c r="P20" t="s">
        <v>23</v>
      </c>
    </row>
    <row r="21" spans="1:16" ht="12.75">
      <c r="A21">
        <v>15</v>
      </c>
      <c r="B21" t="s">
        <v>144</v>
      </c>
      <c r="H21" t="s">
        <v>3</v>
      </c>
      <c r="N21" s="3">
        <v>300</v>
      </c>
      <c r="P21" t="s">
        <v>4</v>
      </c>
    </row>
    <row r="22" spans="1:16" ht="12.75">
      <c r="A22">
        <v>16</v>
      </c>
      <c r="B22" t="s">
        <v>147</v>
      </c>
      <c r="N22" s="3">
        <v>6456</v>
      </c>
      <c r="P22" t="s">
        <v>4</v>
      </c>
    </row>
    <row r="23" spans="1:16" ht="12.75">
      <c r="A23">
        <v>17</v>
      </c>
      <c r="B23" t="s">
        <v>200</v>
      </c>
      <c r="N23" s="3">
        <v>1004</v>
      </c>
      <c r="P23" t="s">
        <v>23</v>
      </c>
    </row>
    <row r="24" spans="1:16" ht="12.75">
      <c r="A24">
        <v>18</v>
      </c>
      <c r="B24" t="s">
        <v>206</v>
      </c>
      <c r="N24" s="3">
        <v>2002</v>
      </c>
      <c r="P24" t="s">
        <v>23</v>
      </c>
    </row>
    <row r="25" spans="1:14" ht="12.75">
      <c r="A25">
        <v>19</v>
      </c>
      <c r="B25" t="s">
        <v>172</v>
      </c>
      <c r="J25" s="127" t="s">
        <v>242</v>
      </c>
      <c r="N25" s="3">
        <v>1.018</v>
      </c>
    </row>
    <row r="26" spans="1:16" ht="12.75">
      <c r="A26">
        <v>20</v>
      </c>
      <c r="B26" t="s">
        <v>40</v>
      </c>
      <c r="N26" s="3">
        <v>34</v>
      </c>
      <c r="P26" t="s">
        <v>41</v>
      </c>
    </row>
    <row r="27" spans="1:16" ht="12.75">
      <c r="A27">
        <v>21</v>
      </c>
      <c r="B27" t="s">
        <v>42</v>
      </c>
      <c r="N27" s="47">
        <f>gázm3</f>
        <v>174.2</v>
      </c>
      <c r="P27" t="s">
        <v>30</v>
      </c>
    </row>
    <row r="28" spans="1:16" ht="12.75">
      <c r="A28">
        <v>22</v>
      </c>
      <c r="B28" t="s">
        <v>211</v>
      </c>
      <c r="H28" t="s">
        <v>286</v>
      </c>
      <c r="N28" s="5">
        <f>földgázdíj</f>
        <v>5829.5475040608</v>
      </c>
      <c r="P28" t="s">
        <v>4</v>
      </c>
    </row>
    <row r="29" spans="1:16" ht="12.75">
      <c r="A29">
        <v>23</v>
      </c>
      <c r="B29" t="s">
        <v>212</v>
      </c>
      <c r="H29" t="s">
        <v>286</v>
      </c>
      <c r="N29" s="47">
        <f>Q109</f>
        <v>446.62254596959997</v>
      </c>
      <c r="P29" t="s">
        <v>4</v>
      </c>
    </row>
    <row r="30" spans="1:16" ht="12.75">
      <c r="A30">
        <v>24</v>
      </c>
      <c r="B30" t="s">
        <v>207</v>
      </c>
      <c r="N30" s="3">
        <v>96.3</v>
      </c>
      <c r="P30" t="s">
        <v>34</v>
      </c>
    </row>
    <row r="31" spans="1:16" ht="12.75">
      <c r="A31">
        <v>25</v>
      </c>
      <c r="B31" t="s">
        <v>208</v>
      </c>
      <c r="N31" s="3">
        <v>3.7</v>
      </c>
      <c r="P31" t="s">
        <v>34</v>
      </c>
    </row>
    <row r="32" spans="1:16" ht="12.75">
      <c r="A32">
        <v>26</v>
      </c>
      <c r="B32" t="s">
        <v>202</v>
      </c>
      <c r="N32" s="3">
        <v>28795</v>
      </c>
      <c r="P32" t="s">
        <v>43</v>
      </c>
    </row>
    <row r="33" spans="1:16" ht="12.75">
      <c r="A33">
        <v>27</v>
      </c>
      <c r="B33" t="s">
        <v>203</v>
      </c>
      <c r="N33" s="3">
        <v>28217</v>
      </c>
      <c r="P33" t="s">
        <v>43</v>
      </c>
    </row>
    <row r="34" spans="1:16" ht="12.75">
      <c r="A34">
        <v>28</v>
      </c>
      <c r="B34" t="s">
        <v>44</v>
      </c>
      <c r="I34" t="s">
        <v>286</v>
      </c>
      <c r="N34" s="5">
        <f>tömbvilldíj</f>
        <v>3420.846</v>
      </c>
      <c r="P34" t="s">
        <v>4</v>
      </c>
    </row>
    <row r="35" spans="1:16" ht="12.75">
      <c r="A35">
        <v>29</v>
      </c>
      <c r="B35" t="s">
        <v>45</v>
      </c>
      <c r="I35" t="s">
        <v>287</v>
      </c>
      <c r="N35" s="5">
        <f>termvilldíj</f>
        <v>2381.5148000000004</v>
      </c>
      <c r="P35" t="s">
        <v>4</v>
      </c>
    </row>
    <row r="36" spans="1:16" ht="12.75">
      <c r="A36">
        <v>30</v>
      </c>
      <c r="B36" t="s">
        <v>46</v>
      </c>
      <c r="I36" t="s">
        <v>286</v>
      </c>
      <c r="N36" s="3">
        <v>400</v>
      </c>
      <c r="P36" t="s">
        <v>4</v>
      </c>
    </row>
    <row r="37" spans="1:16" ht="12.75">
      <c r="A37">
        <v>31</v>
      </c>
      <c r="B37" t="s">
        <v>289</v>
      </c>
      <c r="N37" s="3">
        <v>200</v>
      </c>
      <c r="P37" t="s">
        <v>4</v>
      </c>
    </row>
    <row r="38" spans="1:16" ht="12.75">
      <c r="A38">
        <v>32</v>
      </c>
      <c r="B38" t="s">
        <v>165</v>
      </c>
      <c r="I38" t="s">
        <v>286</v>
      </c>
      <c r="N38" s="3">
        <v>2718</v>
      </c>
      <c r="P38" t="s">
        <v>4</v>
      </c>
    </row>
    <row r="39" spans="1:16" ht="12.75">
      <c r="A39">
        <v>33</v>
      </c>
      <c r="B39" t="s">
        <v>47</v>
      </c>
      <c r="K39" t="s">
        <v>286</v>
      </c>
      <c r="N39" s="3">
        <v>79100</v>
      </c>
      <c r="P39" t="s">
        <v>48</v>
      </c>
    </row>
    <row r="40" spans="1:16" ht="12.75">
      <c r="A40">
        <v>34</v>
      </c>
      <c r="B40" t="s">
        <v>49</v>
      </c>
      <c r="K40" t="s">
        <v>286</v>
      </c>
      <c r="N40" s="3">
        <v>27852</v>
      </c>
      <c r="P40" t="s">
        <v>50</v>
      </c>
    </row>
    <row r="41" spans="1:16" ht="12.75">
      <c r="A41">
        <v>35</v>
      </c>
      <c r="B41" t="s">
        <v>139</v>
      </c>
      <c r="K41" t="s">
        <v>286</v>
      </c>
      <c r="N41" s="3">
        <v>2</v>
      </c>
      <c r="P41" t="s">
        <v>34</v>
      </c>
    </row>
    <row r="42" spans="1:16" ht="12.75">
      <c r="A42">
        <v>36</v>
      </c>
      <c r="B42" t="s">
        <v>51</v>
      </c>
      <c r="K42" t="s">
        <v>287</v>
      </c>
      <c r="N42" s="3">
        <v>2</v>
      </c>
      <c r="P42" t="s">
        <v>34</v>
      </c>
    </row>
    <row r="43" spans="1:16" ht="12.75">
      <c r="A43">
        <v>37</v>
      </c>
      <c r="B43" t="s">
        <v>290</v>
      </c>
      <c r="N43" s="3">
        <v>79</v>
      </c>
      <c r="P43" t="s">
        <v>34</v>
      </c>
    </row>
    <row r="44" spans="1:16" ht="12.75">
      <c r="A44">
        <v>38</v>
      </c>
      <c r="B44" t="s">
        <v>291</v>
      </c>
      <c r="K44" t="s">
        <v>288</v>
      </c>
      <c r="N44" s="3">
        <v>21</v>
      </c>
      <c r="P44" t="s">
        <v>34</v>
      </c>
    </row>
    <row r="45" spans="1:16" ht="12.75">
      <c r="A45">
        <v>39</v>
      </c>
      <c r="B45" t="s">
        <v>52</v>
      </c>
      <c r="K45" t="s">
        <v>286</v>
      </c>
      <c r="N45" s="3">
        <v>72</v>
      </c>
      <c r="P45" t="s">
        <v>34</v>
      </c>
    </row>
    <row r="46" spans="1:16" ht="12.75">
      <c r="A46">
        <v>40</v>
      </c>
      <c r="B46" t="s">
        <v>53</v>
      </c>
      <c r="K46" t="s">
        <v>286</v>
      </c>
      <c r="N46" s="3">
        <v>28</v>
      </c>
      <c r="P46" t="s">
        <v>34</v>
      </c>
    </row>
    <row r="47" spans="1:16" ht="12.75">
      <c r="A47">
        <v>41</v>
      </c>
      <c r="B47" t="s">
        <v>54</v>
      </c>
      <c r="K47" t="s">
        <v>286</v>
      </c>
      <c r="N47" s="3">
        <v>38</v>
      </c>
      <c r="P47" t="s">
        <v>34</v>
      </c>
    </row>
    <row r="48" spans="1:16" ht="12.75">
      <c r="A48">
        <v>42</v>
      </c>
      <c r="B48" t="s">
        <v>55</v>
      </c>
      <c r="K48" t="s">
        <v>286</v>
      </c>
      <c r="N48" s="3">
        <v>62</v>
      </c>
      <c r="P48" t="s">
        <v>34</v>
      </c>
    </row>
    <row r="66" ht="12.75">
      <c r="F66" s="7" t="s">
        <v>292</v>
      </c>
    </row>
    <row r="68" spans="12:17" ht="12.75">
      <c r="L68" s="7">
        <v>2005</v>
      </c>
      <c r="M68" s="7">
        <v>2004</v>
      </c>
      <c r="N68" s="7">
        <v>2003</v>
      </c>
      <c r="O68" s="7">
        <v>2002</v>
      </c>
      <c r="P68" s="7">
        <v>2001</v>
      </c>
      <c r="Q68" s="7" t="s">
        <v>56</v>
      </c>
    </row>
    <row r="69" spans="1:17" ht="12.75">
      <c r="A69">
        <v>43</v>
      </c>
      <c r="B69" t="s">
        <v>250</v>
      </c>
      <c r="K69" s="50"/>
      <c r="L69" s="3">
        <v>381</v>
      </c>
      <c r="M69" s="3">
        <v>324</v>
      </c>
      <c r="N69" s="3">
        <v>370</v>
      </c>
      <c r="O69" s="3">
        <v>371</v>
      </c>
      <c r="P69" s="3">
        <v>371</v>
      </c>
      <c r="Q69" s="63">
        <f>AVERAGE(L69:P69)</f>
        <v>363.4</v>
      </c>
    </row>
    <row r="70" spans="1:17" ht="12.75">
      <c r="A70">
        <v>44</v>
      </c>
      <c r="C70" t="s">
        <v>58</v>
      </c>
      <c r="K70" s="50"/>
      <c r="L70" s="3">
        <v>102</v>
      </c>
      <c r="M70" s="3">
        <v>72</v>
      </c>
      <c r="N70" s="3">
        <v>98</v>
      </c>
      <c r="O70" s="3">
        <v>95</v>
      </c>
      <c r="P70" s="3">
        <v>98</v>
      </c>
      <c r="Q70" s="63">
        <f>AVERAGE(L70:P70)</f>
        <v>93</v>
      </c>
    </row>
    <row r="71" spans="1:17" ht="12.75">
      <c r="A71">
        <v>45</v>
      </c>
      <c r="C71" t="s">
        <v>59</v>
      </c>
      <c r="K71" s="50"/>
      <c r="L71" s="49">
        <f>L69-L70</f>
        <v>279</v>
      </c>
      <c r="M71" s="49">
        <f>M69-M70</f>
        <v>252</v>
      </c>
      <c r="N71" s="49">
        <f>N69-N70</f>
        <v>272</v>
      </c>
      <c r="O71" s="49">
        <f>O69-O70</f>
        <v>276</v>
      </c>
      <c r="P71" s="49">
        <f>P69-P70</f>
        <v>273</v>
      </c>
      <c r="Q71" s="63">
        <f>AVERAGE(L71:P71)</f>
        <v>270.4</v>
      </c>
    </row>
    <row r="72" spans="1:17" ht="12.75">
      <c r="A72">
        <v>46</v>
      </c>
      <c r="C72" t="s">
        <v>57</v>
      </c>
      <c r="H72" s="64">
        <f>vkj</f>
        <v>31.1</v>
      </c>
      <c r="I72" t="s">
        <v>25</v>
      </c>
      <c r="J72" t="s">
        <v>146</v>
      </c>
      <c r="Q72" s="6">
        <f>vkj*Q69</f>
        <v>11301.74</v>
      </c>
    </row>
    <row r="73" spans="1:12" ht="12.75">
      <c r="A73">
        <v>47</v>
      </c>
      <c r="C73" t="s">
        <v>60</v>
      </c>
      <c r="G73" s="3">
        <v>61</v>
      </c>
      <c r="H73" t="s">
        <v>61</v>
      </c>
      <c r="I73" s="3">
        <v>47</v>
      </c>
      <c r="J73" t="s">
        <v>62</v>
      </c>
      <c r="K73" s="49">
        <f>G73-I73</f>
        <v>14</v>
      </c>
      <c r="L73" t="s">
        <v>63</v>
      </c>
    </row>
    <row r="74" spans="1:5" ht="12.75">
      <c r="A74">
        <v>48</v>
      </c>
      <c r="D74" t="s">
        <v>64</v>
      </c>
      <c r="E74" t="s">
        <v>65</v>
      </c>
    </row>
    <row r="75" spans="1:17" ht="12.75">
      <c r="A75">
        <v>49</v>
      </c>
      <c r="C75" t="s">
        <v>66</v>
      </c>
      <c r="F75" t="s">
        <v>67</v>
      </c>
      <c r="I75" t="s">
        <v>68</v>
      </c>
      <c r="L75" s="52"/>
      <c r="M75" s="52"/>
      <c r="N75" s="52"/>
      <c r="O75" s="52"/>
      <c r="P75" s="52"/>
      <c r="Q75" s="50">
        <f>Q70*K73*4.186</f>
        <v>5450.172</v>
      </c>
    </row>
    <row r="76" ht="12.75">
      <c r="G76" s="4"/>
    </row>
    <row r="77" spans="1:12" ht="12.75">
      <c r="A77">
        <v>50</v>
      </c>
      <c r="C77" t="s">
        <v>69</v>
      </c>
      <c r="G77" s="3">
        <v>72</v>
      </c>
      <c r="H77" t="s">
        <v>61</v>
      </c>
      <c r="I77" s="3">
        <v>50</v>
      </c>
      <c r="J77" t="s">
        <v>62</v>
      </c>
      <c r="K77" s="49">
        <f>G77-I77</f>
        <v>22</v>
      </c>
      <c r="L77" t="s">
        <v>63</v>
      </c>
    </row>
    <row r="78" spans="1:5" ht="12.75">
      <c r="A78">
        <v>51</v>
      </c>
      <c r="D78" t="s">
        <v>64</v>
      </c>
      <c r="E78" t="s">
        <v>65</v>
      </c>
    </row>
    <row r="79" spans="1:17" ht="12.75">
      <c r="A79">
        <v>52</v>
      </c>
      <c r="C79" t="s">
        <v>70</v>
      </c>
      <c r="F79" t="s">
        <v>67</v>
      </c>
      <c r="I79" t="s">
        <v>68</v>
      </c>
      <c r="L79" s="52"/>
      <c r="M79" s="52"/>
      <c r="N79" s="52"/>
      <c r="O79" s="52"/>
      <c r="P79" s="52"/>
      <c r="Q79" s="50">
        <f>Q71*K77*4.186</f>
        <v>24901.676799999997</v>
      </c>
    </row>
    <row r="80" spans="1:17" ht="12.75">
      <c r="A80">
        <v>53</v>
      </c>
      <c r="L80" t="s">
        <v>151</v>
      </c>
      <c r="Q80" s="90">
        <f>Q75+Q79</f>
        <v>30351.848799999996</v>
      </c>
    </row>
    <row r="81" spans="1:3" ht="12.75">
      <c r="A81">
        <v>54</v>
      </c>
      <c r="C81" t="s">
        <v>71</v>
      </c>
    </row>
    <row r="82" spans="1:12" ht="12.75">
      <c r="A82">
        <v>55</v>
      </c>
      <c r="C82" t="s">
        <v>72</v>
      </c>
      <c r="G82" s="52"/>
      <c r="I82" s="52"/>
      <c r="K82" s="65">
        <f>((K73*Q70)+(K77*Q71))/Q69</f>
        <v>19.95266923500275</v>
      </c>
      <c r="L82" t="s">
        <v>63</v>
      </c>
    </row>
    <row r="83" spans="1:17" ht="12.75">
      <c r="A83">
        <v>56</v>
      </c>
      <c r="C83" t="s">
        <v>73</v>
      </c>
      <c r="G83" t="s">
        <v>67</v>
      </c>
      <c r="I83" t="s">
        <v>68</v>
      </c>
      <c r="Q83" s="50">
        <f>Q69*K82*4.186</f>
        <v>30351.848799999996</v>
      </c>
    </row>
    <row r="84" spans="1:17" ht="12.75">
      <c r="A84">
        <v>57</v>
      </c>
      <c r="Q84" s="4"/>
    </row>
    <row r="85" spans="1:17" ht="12.75">
      <c r="A85">
        <v>58</v>
      </c>
      <c r="C85" t="s">
        <v>74</v>
      </c>
      <c r="G85">
        <f>bányaGJ</f>
        <v>30351.848799999996</v>
      </c>
      <c r="H85" t="s">
        <v>75</v>
      </c>
      <c r="I85">
        <f>bányaszázalék</f>
        <v>2</v>
      </c>
      <c r="J85" t="s">
        <v>76</v>
      </c>
      <c r="K85">
        <f>házgázár</f>
        <v>1300</v>
      </c>
      <c r="L85" t="s">
        <v>77</v>
      </c>
      <c r="N85" s="50">
        <f>((G85*I85)/100*K85)/1000</f>
        <v>789.1480687999998</v>
      </c>
      <c r="O85" t="s">
        <v>78</v>
      </c>
      <c r="Q85" s="4"/>
    </row>
    <row r="86" ht="12.75">
      <c r="Q86" s="4"/>
    </row>
    <row r="87" ht="12.75">
      <c r="Q87" s="4"/>
    </row>
    <row r="88" ht="12.75">
      <c r="Q88" s="4"/>
    </row>
    <row r="90" ht="12.75">
      <c r="F90" s="7" t="s">
        <v>293</v>
      </c>
    </row>
    <row r="92" spans="1:17" ht="12.75">
      <c r="A92">
        <v>59</v>
      </c>
      <c r="B92" t="s">
        <v>170</v>
      </c>
      <c r="L92" s="7">
        <v>2005</v>
      </c>
      <c r="M92" s="7">
        <v>2004</v>
      </c>
      <c r="N92" s="7">
        <v>2003</v>
      </c>
      <c r="O92" s="7">
        <v>2002</v>
      </c>
      <c r="P92" s="7">
        <v>2001</v>
      </c>
      <c r="Q92" s="7" t="s">
        <v>56</v>
      </c>
    </row>
    <row r="93" spans="1:17" ht="12.75">
      <c r="A93">
        <v>60</v>
      </c>
      <c r="E93" t="s">
        <v>326</v>
      </c>
      <c r="L93">
        <v>117</v>
      </c>
      <c r="M93">
        <v>112</v>
      </c>
      <c r="N93">
        <v>137</v>
      </c>
      <c r="O93">
        <v>111</v>
      </c>
      <c r="P93">
        <v>117</v>
      </c>
      <c r="Q93">
        <f>AVERAGE(L93:P93)</f>
        <v>118.8</v>
      </c>
    </row>
    <row r="94" spans="1:17" ht="12.75">
      <c r="A94">
        <v>61</v>
      </c>
      <c r="E94" t="s">
        <v>327</v>
      </c>
      <c r="L94">
        <v>83</v>
      </c>
      <c r="M94">
        <v>67</v>
      </c>
      <c r="N94">
        <v>77</v>
      </c>
      <c r="O94">
        <v>88</v>
      </c>
      <c r="P94">
        <v>107</v>
      </c>
      <c r="Q94">
        <f>AVERAGE(L94:P94)</f>
        <v>84.4</v>
      </c>
    </row>
    <row r="95" ht="12.75">
      <c r="Q95" s="88"/>
    </row>
    <row r="96" spans="1:17" ht="12.75">
      <c r="A96">
        <v>62</v>
      </c>
      <c r="G96" t="s">
        <v>80</v>
      </c>
      <c r="H96" s="89">
        <f>Q93</f>
        <v>118.8</v>
      </c>
      <c r="I96" t="s">
        <v>81</v>
      </c>
      <c r="K96" s="49">
        <f>tömbvillár</f>
        <v>28795</v>
      </c>
      <c r="L96" t="s">
        <v>82</v>
      </c>
      <c r="Q96" s="50">
        <f>K96*H96/1000</f>
        <v>3420.846</v>
      </c>
    </row>
    <row r="97" spans="1:17" ht="12.75">
      <c r="A97">
        <v>63</v>
      </c>
      <c r="G97" t="s">
        <v>80</v>
      </c>
      <c r="H97" s="89">
        <f>Q94</f>
        <v>84.4</v>
      </c>
      <c r="I97" t="s">
        <v>81</v>
      </c>
      <c r="K97" s="49">
        <f>termvillár</f>
        <v>28217</v>
      </c>
      <c r="L97" t="s">
        <v>82</v>
      </c>
      <c r="Q97" s="50">
        <f>K97*H97/1000</f>
        <v>2381.5148000000004</v>
      </c>
    </row>
    <row r="101" ht="12.75">
      <c r="F101" s="7" t="s">
        <v>294</v>
      </c>
    </row>
    <row r="103" spans="1:17" ht="12.75">
      <c r="A103">
        <v>64</v>
      </c>
      <c r="B103" t="s">
        <v>299</v>
      </c>
      <c r="H103" t="s">
        <v>83</v>
      </c>
      <c r="L103" s="7">
        <v>2005</v>
      </c>
      <c r="M103" s="7">
        <v>2004</v>
      </c>
      <c r="N103" s="7">
        <v>2003</v>
      </c>
      <c r="O103" s="7">
        <v>2002</v>
      </c>
      <c r="P103" s="7">
        <v>2001</v>
      </c>
      <c r="Q103" s="7" t="s">
        <v>56</v>
      </c>
    </row>
    <row r="104" spans="1:17" ht="12.75">
      <c r="A104">
        <v>65</v>
      </c>
      <c r="L104" s="3">
        <v>113</v>
      </c>
      <c r="M104" s="3">
        <v>150</v>
      </c>
      <c r="N104" s="3">
        <v>193</v>
      </c>
      <c r="O104" s="3">
        <v>184</v>
      </c>
      <c r="P104" s="3">
        <v>231</v>
      </c>
      <c r="Q104" s="50">
        <f>AVERAGE(L104:P104)</f>
        <v>174.2</v>
      </c>
    </row>
    <row r="105" spans="12:17" ht="12.75">
      <c r="L105" s="52"/>
      <c r="M105" s="52"/>
      <c r="N105" s="52"/>
      <c r="O105" s="52"/>
      <c r="P105" s="52"/>
      <c r="Q105" s="51"/>
    </row>
    <row r="106" spans="1:17" ht="12.75">
      <c r="A106">
        <v>66</v>
      </c>
      <c r="B106" t="s">
        <v>84</v>
      </c>
      <c r="F106" s="6">
        <f>Q104</f>
        <v>174.2</v>
      </c>
      <c r="G106" t="s">
        <v>85</v>
      </c>
      <c r="H106">
        <f>gázérték</f>
        <v>34</v>
      </c>
      <c r="I106" t="s">
        <v>86</v>
      </c>
      <c r="K106">
        <f>gázszorzó</f>
        <v>1.018</v>
      </c>
      <c r="L106" s="52" t="s">
        <v>87</v>
      </c>
      <c r="M106" s="52">
        <f>F106*H106*K106</f>
        <v>6029.4104</v>
      </c>
      <c r="N106" s="52" t="s">
        <v>88</v>
      </c>
      <c r="O106" s="52"/>
      <c r="P106" s="52"/>
      <c r="Q106" s="51"/>
    </row>
    <row r="107" spans="12:17" ht="12.75">
      <c r="L107" s="52"/>
      <c r="M107" s="52"/>
      <c r="N107" s="52"/>
      <c r="O107" s="52"/>
      <c r="P107" s="52"/>
      <c r="Q107" s="52"/>
    </row>
    <row r="108" spans="1:17" ht="12.75">
      <c r="A108">
        <v>67</v>
      </c>
      <c r="B108" t="s">
        <v>205</v>
      </c>
      <c r="E108" s="6">
        <f>gázm3*N30/100</f>
        <v>167.75459999999998</v>
      </c>
      <c r="F108" t="s">
        <v>89</v>
      </c>
      <c r="H108">
        <f>gázérték</f>
        <v>34</v>
      </c>
      <c r="I108" t="s">
        <v>86</v>
      </c>
      <c r="K108">
        <f>gázszorzó</f>
        <v>1.018</v>
      </c>
      <c r="L108" t="s">
        <v>90</v>
      </c>
      <c r="M108" s="64">
        <f>áltgázár</f>
        <v>1004</v>
      </c>
      <c r="N108" t="s">
        <v>91</v>
      </c>
      <c r="Q108" s="50">
        <f>E108*H108*K108*M108/1000</f>
        <v>5829.5475040608</v>
      </c>
    </row>
    <row r="109" spans="1:17" ht="12.75">
      <c r="A109">
        <v>68</v>
      </c>
      <c r="B109" t="s">
        <v>209</v>
      </c>
      <c r="E109" s="6">
        <f>gázm3*N31/100</f>
        <v>6.445399999999999</v>
      </c>
      <c r="F109" t="s">
        <v>89</v>
      </c>
      <c r="H109">
        <v>34</v>
      </c>
      <c r="I109" t="s">
        <v>86</v>
      </c>
      <c r="K109">
        <v>1.018</v>
      </c>
      <c r="L109" t="s">
        <v>90</v>
      </c>
      <c r="M109">
        <f>közüzemigáz</f>
        <v>2002</v>
      </c>
      <c r="N109" t="s">
        <v>91</v>
      </c>
      <c r="Q109" s="51">
        <f>M109*K109*H109*E109/1000</f>
        <v>446.62254596959997</v>
      </c>
    </row>
    <row r="110" spans="5:17" ht="12.75">
      <c r="E110" s="6"/>
      <c r="Q110" s="51">
        <f>SUM(Q108:Q109)</f>
        <v>6276.1700500304</v>
      </c>
    </row>
    <row r="111" spans="1:17" ht="12.75">
      <c r="A111">
        <v>69</v>
      </c>
      <c r="B111" t="s">
        <v>140</v>
      </c>
      <c r="E111" s="6"/>
      <c r="Q111" s="51">
        <f>teldíj</f>
        <v>6456</v>
      </c>
    </row>
    <row r="112" spans="5:17" ht="12.75">
      <c r="E112" s="6"/>
      <c r="Q112" s="51"/>
    </row>
    <row r="113" spans="1:17" ht="12.75">
      <c r="A113">
        <v>70</v>
      </c>
      <c r="B113" t="s">
        <v>141</v>
      </c>
      <c r="E113" s="6"/>
      <c r="Q113" s="51">
        <f>Q110+Q111</f>
        <v>12732.1700500304</v>
      </c>
    </row>
    <row r="114" spans="5:17" ht="12.75">
      <c r="E114" s="6"/>
      <c r="Q114" s="51"/>
    </row>
    <row r="115" spans="5:17" ht="12.75">
      <c r="E115" s="6"/>
      <c r="F115" s="7" t="s">
        <v>295</v>
      </c>
      <c r="Q115" s="51"/>
    </row>
    <row r="116" ht="12.75">
      <c r="M116" s="52"/>
    </row>
    <row r="117" spans="1:17" ht="12.75">
      <c r="A117">
        <v>71</v>
      </c>
      <c r="B117" t="s">
        <v>297</v>
      </c>
      <c r="Q117" s="52">
        <f>tömbammort</f>
        <v>5800</v>
      </c>
    </row>
    <row r="118" ht="12.75">
      <c r="M118" s="52"/>
    </row>
    <row r="119" ht="12.75">
      <c r="M119" s="52"/>
    </row>
    <row r="120" spans="6:13" ht="12.75">
      <c r="F120" s="7" t="s">
        <v>296</v>
      </c>
      <c r="M120" s="52"/>
    </row>
    <row r="121" ht="12.75">
      <c r="M121" s="52"/>
    </row>
    <row r="122" spans="1:17" ht="12.75">
      <c r="A122">
        <v>72</v>
      </c>
      <c r="B122" t="s">
        <v>298</v>
      </c>
      <c r="Q122" s="52">
        <f>termammort</f>
        <v>1911</v>
      </c>
    </row>
    <row r="123" ht="12.75">
      <c r="M123" s="52"/>
    </row>
    <row r="124" ht="12.75">
      <c r="M124" s="52"/>
    </row>
    <row r="125" ht="12.75">
      <c r="M125" s="52"/>
    </row>
    <row r="126" ht="12.75">
      <c r="M126" s="52"/>
    </row>
    <row r="127" ht="12.75">
      <c r="M127" s="52"/>
    </row>
    <row r="128" spans="6:13" ht="12.75">
      <c r="F128" s="7" t="s">
        <v>302</v>
      </c>
      <c r="M128" s="52"/>
    </row>
    <row r="129" ht="12.75">
      <c r="M129" s="52"/>
    </row>
    <row r="130" spans="1:17" ht="12.75">
      <c r="A130">
        <v>73</v>
      </c>
      <c r="B130" t="s">
        <v>300</v>
      </c>
      <c r="Q130">
        <f>tömbanyag</f>
        <v>400</v>
      </c>
    </row>
    <row r="131" spans="1:17" ht="12.75">
      <c r="A131">
        <v>74</v>
      </c>
      <c r="B131" t="s">
        <v>301</v>
      </c>
      <c r="Q131">
        <f>kútanyag</f>
        <v>200</v>
      </c>
    </row>
    <row r="132" ht="12.75">
      <c r="F132" s="7" t="s">
        <v>304</v>
      </c>
    </row>
    <row r="133" ht="12.75">
      <c r="H133" t="s">
        <v>303</v>
      </c>
    </row>
    <row r="136" spans="1:17" ht="12.75">
      <c r="A136">
        <v>75</v>
      </c>
      <c r="C136" t="s">
        <v>165</v>
      </c>
      <c r="Q136">
        <f>szolgáltat</f>
        <v>2718</v>
      </c>
    </row>
    <row r="139" ht="12.75">
      <c r="F139" s="7" t="s">
        <v>305</v>
      </c>
    </row>
    <row r="141" spans="1:17" ht="12.75">
      <c r="A141">
        <v>76</v>
      </c>
      <c r="B141" t="s">
        <v>142</v>
      </c>
      <c r="Q141" s="49">
        <f>összesbér</f>
        <v>8748</v>
      </c>
    </row>
    <row r="142" spans="1:17" ht="12.75">
      <c r="A142">
        <v>77</v>
      </c>
      <c r="B142" t="s">
        <v>92</v>
      </c>
      <c r="D142">
        <f>bérjárulék</f>
        <v>33.6</v>
      </c>
      <c r="E142" t="s">
        <v>93</v>
      </c>
      <c r="F142" s="49">
        <f>Q141</f>
        <v>8748</v>
      </c>
      <c r="G142" t="s">
        <v>143</v>
      </c>
      <c r="Q142" s="34">
        <f>(F142*D142/100)</f>
        <v>2939.328</v>
      </c>
    </row>
    <row r="143" spans="1:17" ht="12.75">
      <c r="A143">
        <v>78</v>
      </c>
      <c r="B143" t="s">
        <v>138</v>
      </c>
      <c r="Q143" s="49">
        <f>személyi</f>
        <v>550</v>
      </c>
    </row>
    <row r="144" spans="6:15" ht="12.75">
      <c r="F144" s="52"/>
      <c r="O144" s="34"/>
    </row>
    <row r="145" spans="1:16" ht="12.75">
      <c r="A145">
        <v>79</v>
      </c>
      <c r="B145" t="s">
        <v>94</v>
      </c>
      <c r="G145" t="s">
        <v>95</v>
      </c>
      <c r="K145" t="s">
        <v>96</v>
      </c>
      <c r="O145">
        <v>730</v>
      </c>
      <c r="P145" t="s">
        <v>97</v>
      </c>
    </row>
    <row r="146" spans="1:16" ht="12.75">
      <c r="A146">
        <v>80</v>
      </c>
      <c r="G146" t="s">
        <v>98</v>
      </c>
      <c r="O146">
        <v>600</v>
      </c>
      <c r="P146" t="s">
        <v>97</v>
      </c>
    </row>
    <row r="147" spans="1:16" ht="12.75">
      <c r="A147">
        <v>81</v>
      </c>
      <c r="L147" t="s">
        <v>79</v>
      </c>
      <c r="O147">
        <f>SUM(O145:O146)</f>
        <v>1330</v>
      </c>
      <c r="P147" t="s">
        <v>97</v>
      </c>
    </row>
    <row r="149" spans="1:10" ht="12.75">
      <c r="A149">
        <v>82</v>
      </c>
      <c r="G149" t="s">
        <v>99</v>
      </c>
      <c r="I149" s="4">
        <f>óradíj</f>
        <v>1640</v>
      </c>
      <c r="J149" t="s">
        <v>100</v>
      </c>
    </row>
    <row r="150" spans="1:16" ht="12.75">
      <c r="A150">
        <v>83</v>
      </c>
      <c r="G150" t="s">
        <v>101</v>
      </c>
      <c r="O150">
        <f>O147*I149/1000</f>
        <v>2181.2</v>
      </c>
      <c r="P150" t="s">
        <v>78</v>
      </c>
    </row>
    <row r="152" ht="12.75">
      <c r="F152" s="7" t="s">
        <v>144</v>
      </c>
    </row>
    <row r="153" spans="1:16" ht="12.75">
      <c r="A153">
        <v>84</v>
      </c>
      <c r="B153" t="s">
        <v>144</v>
      </c>
      <c r="O153">
        <f>ráfordit</f>
        <v>300</v>
      </c>
      <c r="P153" t="s">
        <v>150</v>
      </c>
    </row>
    <row r="155" ht="12.75">
      <c r="F155" s="7" t="s">
        <v>306</v>
      </c>
    </row>
    <row r="157" spans="1:16" ht="12.75">
      <c r="A157">
        <v>85</v>
      </c>
      <c r="B157" t="s">
        <v>134</v>
      </c>
      <c r="O157">
        <f>üzemiált</f>
        <v>2812</v>
      </c>
      <c r="P157" t="s">
        <v>78</v>
      </c>
    </row>
    <row r="158" ht="12.75">
      <c r="F158" s="7" t="s">
        <v>307</v>
      </c>
    </row>
    <row r="160" spans="1:16" ht="12.75">
      <c r="A160">
        <v>86</v>
      </c>
      <c r="B160" t="s">
        <v>136</v>
      </c>
      <c r="O160">
        <f>vállált</f>
        <v>4971</v>
      </c>
      <c r="P160" t="s">
        <v>78</v>
      </c>
    </row>
    <row r="162" ht="12.75">
      <c r="F162" s="7" t="s">
        <v>308</v>
      </c>
    </row>
    <row r="164" ht="12.75">
      <c r="B164" t="s">
        <v>102</v>
      </c>
    </row>
    <row r="166" spans="1:16" ht="12.75">
      <c r="A166">
        <v>87</v>
      </c>
      <c r="D166" t="s">
        <v>309</v>
      </c>
      <c r="G166" s="6"/>
      <c r="I166" s="6">
        <f>SUM(árkalktábla!J13:J27)</f>
        <v>58629.20039965088</v>
      </c>
      <c r="J166" t="s">
        <v>103</v>
      </c>
      <c r="K166">
        <f>tömbnyereség</f>
        <v>2</v>
      </c>
      <c r="L166" t="s">
        <v>104</v>
      </c>
      <c r="O166">
        <f>I166*K166/100</f>
        <v>1172.5840079930176</v>
      </c>
      <c r="P166" t="s">
        <v>78</v>
      </c>
    </row>
    <row r="168" spans="1:16" ht="12.75">
      <c r="A168">
        <v>91</v>
      </c>
      <c r="D168" t="s">
        <v>310</v>
      </c>
      <c r="I168" s="6">
        <f>SUM(árkalktábla!N13:N27)</f>
        <v>21833.530750267302</v>
      </c>
      <c r="J168" t="s">
        <v>103</v>
      </c>
      <c r="K168">
        <f>termálnyereség</f>
        <v>2</v>
      </c>
      <c r="L168" t="s">
        <v>104</v>
      </c>
      <c r="O168" s="6">
        <f>I168*K168/100</f>
        <v>436.67061500534606</v>
      </c>
      <c r="P168" t="s">
        <v>78</v>
      </c>
    </row>
    <row r="169" spans="9:15" ht="12.75">
      <c r="I169" s="6"/>
      <c r="O169" s="6"/>
    </row>
    <row r="170" spans="2:15" ht="12.75">
      <c r="B170" t="s">
        <v>105</v>
      </c>
      <c r="I170" s="6"/>
      <c r="O170" s="6"/>
    </row>
    <row r="171" spans="9:15" ht="12.75">
      <c r="I171" s="6"/>
      <c r="O171" s="6"/>
    </row>
    <row r="172" spans="1:15" ht="12.75">
      <c r="A172">
        <v>92</v>
      </c>
      <c r="D172" t="s">
        <v>310</v>
      </c>
      <c r="I172" s="6">
        <f>SUM(árkalktábla!J28)</f>
        <v>58629.20039965088</v>
      </c>
      <c r="J172" t="s">
        <v>78</v>
      </c>
      <c r="O172" s="6"/>
    </row>
    <row r="173" spans="9:15" ht="12.75">
      <c r="I173" s="6"/>
      <c r="O173" s="6"/>
    </row>
    <row r="174" spans="1:15" ht="12.75">
      <c r="A174">
        <v>93</v>
      </c>
      <c r="D174" t="s">
        <v>309</v>
      </c>
      <c r="I174" s="6">
        <f>SUM(árkalktábla!N28)</f>
        <v>21833.530750267302</v>
      </c>
      <c r="J174" t="s">
        <v>106</v>
      </c>
      <c r="O174" s="6"/>
    </row>
    <row r="175" spans="9:15" ht="12.75">
      <c r="I175" s="6"/>
      <c r="O175" s="6"/>
    </row>
    <row r="176" spans="1:15" ht="12.75">
      <c r="A176">
        <v>94</v>
      </c>
      <c r="D176" s="205" t="s">
        <v>311</v>
      </c>
      <c r="I176" s="6">
        <v>4585</v>
      </c>
      <c r="J176" t="s">
        <v>4</v>
      </c>
      <c r="O176" s="6"/>
    </row>
    <row r="177" spans="9:15" ht="12.75">
      <c r="I177" s="6"/>
      <c r="O177" s="6"/>
    </row>
    <row r="178" spans="9:15" ht="12.75">
      <c r="I178" s="6"/>
      <c r="O178" s="6"/>
    </row>
    <row r="179" spans="9:15" ht="12.75">
      <c r="I179" s="6"/>
      <c r="O179" s="6"/>
    </row>
    <row r="180" spans="1:15" ht="12.75">
      <c r="A180">
        <v>95</v>
      </c>
      <c r="D180" s="7" t="s">
        <v>312</v>
      </c>
      <c r="I180" s="206">
        <f>I172+I176</f>
        <v>63214.20039965088</v>
      </c>
      <c r="J180" t="s">
        <v>4</v>
      </c>
      <c r="O180" s="6"/>
    </row>
    <row r="181" spans="5:15" ht="12.75">
      <c r="E181" t="s">
        <v>313</v>
      </c>
      <c r="I181" s="6"/>
      <c r="O181" s="6"/>
    </row>
    <row r="182" spans="9:15" ht="12.75">
      <c r="I182" s="6"/>
      <c r="O182" s="6"/>
    </row>
    <row r="183" spans="9:15" ht="12.75">
      <c r="I183" s="6"/>
      <c r="O183" s="6"/>
    </row>
    <row r="184" spans="9:15" ht="12.75">
      <c r="I184" s="6"/>
      <c r="O184" s="6"/>
    </row>
    <row r="185" spans="9:15" ht="12.75">
      <c r="I185" s="6"/>
      <c r="O185" s="6"/>
    </row>
    <row r="186" spans="9:15" ht="12.75">
      <c r="I186" s="6"/>
      <c r="O186" s="6"/>
    </row>
    <row r="187" spans="9:15" ht="12.75">
      <c r="I187" s="6"/>
      <c r="O187" s="6"/>
    </row>
    <row r="188" spans="9:15" ht="12.75">
      <c r="I188" s="6"/>
      <c r="O188" s="6"/>
    </row>
    <row r="189" spans="9:15" ht="12.75">
      <c r="I189" s="6"/>
      <c r="O189" s="6"/>
    </row>
    <row r="190" spans="9:15" ht="12.75">
      <c r="I190" s="6"/>
      <c r="O190" s="6"/>
    </row>
    <row r="191" spans="9:15" ht="12.75">
      <c r="I191" s="6"/>
      <c r="O191" s="6"/>
    </row>
    <row r="192" ht="12.75">
      <c r="F192" s="7" t="s">
        <v>107</v>
      </c>
    </row>
    <row r="193" ht="12.75">
      <c r="F193" s="7"/>
    </row>
    <row r="194" ht="12.75">
      <c r="F194" s="7"/>
    </row>
    <row r="195" ht="12.75">
      <c r="C195" s="7" t="s">
        <v>316</v>
      </c>
    </row>
    <row r="196" ht="12.75">
      <c r="C196" s="7"/>
    </row>
    <row r="197" spans="1:10" ht="12.75">
      <c r="A197">
        <v>96</v>
      </c>
      <c r="D197" t="s">
        <v>108</v>
      </c>
      <c r="I197">
        <f>összesktsg1</f>
        <v>58629.20039965088</v>
      </c>
      <c r="J197" t="s">
        <v>106</v>
      </c>
    </row>
    <row r="199" spans="1:16" ht="12.75">
      <c r="A199">
        <v>97</v>
      </c>
      <c r="D199" t="s">
        <v>109</v>
      </c>
      <c r="K199">
        <f>összesktsg1</f>
        <v>58629.20039965088</v>
      </c>
      <c r="L199" t="s">
        <v>110</v>
      </c>
      <c r="M199">
        <f>fűtésköltsarány</f>
        <v>72</v>
      </c>
      <c r="N199" t="s">
        <v>104</v>
      </c>
      <c r="O199" s="6">
        <f>összesktsg1*M199/100</f>
        <v>42213.02428774864</v>
      </c>
      <c r="P199" t="s">
        <v>78</v>
      </c>
    </row>
    <row r="201" spans="1:16" ht="12.75">
      <c r="A201">
        <v>98</v>
      </c>
      <c r="D201" t="s">
        <v>111</v>
      </c>
      <c r="K201">
        <f>O199</f>
        <v>42213.02428774864</v>
      </c>
      <c r="L201" t="s">
        <v>110</v>
      </c>
      <c r="M201">
        <f>alapdíjarány</f>
        <v>38</v>
      </c>
      <c r="N201" t="s">
        <v>104</v>
      </c>
      <c r="O201">
        <f>K201*M201/100</f>
        <v>16040.949229344484</v>
      </c>
      <c r="P201" t="s">
        <v>78</v>
      </c>
    </row>
    <row r="203" spans="1:16" ht="12.75">
      <c r="A203">
        <v>99</v>
      </c>
      <c r="D203" t="s">
        <v>112</v>
      </c>
      <c r="K203">
        <f>O199</f>
        <v>42213.02428774864</v>
      </c>
      <c r="L203" t="s">
        <v>110</v>
      </c>
      <c r="M203">
        <f>hődíjarány</f>
        <v>62</v>
      </c>
      <c r="N203" t="s">
        <v>104</v>
      </c>
      <c r="O203" s="6">
        <f>K203*M203/100</f>
        <v>26172.075058404156</v>
      </c>
      <c r="P203" t="s">
        <v>78</v>
      </c>
    </row>
    <row r="205" spans="1:16" ht="12.75">
      <c r="A205">
        <v>100</v>
      </c>
      <c r="D205" s="7" t="s">
        <v>113</v>
      </c>
      <c r="K205">
        <f>O201</f>
        <v>16040.949229344484</v>
      </c>
      <c r="L205" t="s">
        <v>114</v>
      </c>
      <c r="M205">
        <f>fizetőlm3</f>
        <v>79100</v>
      </c>
      <c r="N205" t="s">
        <v>115</v>
      </c>
      <c r="O205" s="240">
        <f>K205/M205*1000</f>
        <v>202.7932898779328</v>
      </c>
      <c r="P205" s="7" t="s">
        <v>335</v>
      </c>
    </row>
    <row r="207" spans="1:16" ht="12.75">
      <c r="A207">
        <v>101</v>
      </c>
      <c r="D207" t="s">
        <v>117</v>
      </c>
      <c r="K207">
        <f>összesktsg1</f>
        <v>58629.20039965088</v>
      </c>
      <c r="L207" t="s">
        <v>110</v>
      </c>
      <c r="M207">
        <f>hmvköltsarány</f>
        <v>28</v>
      </c>
      <c r="N207" t="s">
        <v>104</v>
      </c>
      <c r="O207">
        <f>K207*M207/100</f>
        <v>16416.176111902245</v>
      </c>
      <c r="P207" t="s">
        <v>78</v>
      </c>
    </row>
    <row r="209" spans="1:16" ht="12.75">
      <c r="A209">
        <v>102</v>
      </c>
      <c r="D209" t="s">
        <v>118</v>
      </c>
      <c r="K209">
        <f>O207</f>
        <v>16416.176111902245</v>
      </c>
      <c r="L209" t="s">
        <v>110</v>
      </c>
      <c r="M209">
        <f>M201</f>
        <v>38</v>
      </c>
      <c r="N209" t="s">
        <v>104</v>
      </c>
      <c r="O209">
        <f>K209*M209/100</f>
        <v>6238.146922522853</v>
      </c>
      <c r="P209" t="s">
        <v>78</v>
      </c>
    </row>
    <row r="211" spans="1:16" ht="12.75">
      <c r="A211">
        <v>103</v>
      </c>
      <c r="D211" t="s">
        <v>119</v>
      </c>
      <c r="K211">
        <f>K209</f>
        <v>16416.176111902245</v>
      </c>
      <c r="L211" t="s">
        <v>110</v>
      </c>
      <c r="M211">
        <f>M203</f>
        <v>62</v>
      </c>
      <c r="N211" t="s">
        <v>104</v>
      </c>
      <c r="O211">
        <f>K211*M211/100</f>
        <v>10178.029189379393</v>
      </c>
      <c r="P211" t="s">
        <v>78</v>
      </c>
    </row>
    <row r="213" spans="1:16" ht="12.75">
      <c r="A213">
        <v>104</v>
      </c>
      <c r="D213" s="7" t="s">
        <v>120</v>
      </c>
      <c r="K213">
        <f>O209</f>
        <v>6238.146922522853</v>
      </c>
      <c r="L213" t="s">
        <v>114</v>
      </c>
      <c r="M213">
        <f>M205</f>
        <v>79100</v>
      </c>
      <c r="N213" t="s">
        <v>115</v>
      </c>
      <c r="O213" s="240">
        <f>K213/M213*1000</f>
        <v>78.86405717475162</v>
      </c>
      <c r="P213" t="s">
        <v>116</v>
      </c>
    </row>
    <row r="215" spans="1:16" ht="12.75">
      <c r="A215">
        <v>105</v>
      </c>
      <c r="D215" s="7" t="s">
        <v>121</v>
      </c>
      <c r="K215">
        <f>O211</f>
        <v>10178.029189379393</v>
      </c>
      <c r="L215" t="s">
        <v>114</v>
      </c>
      <c r="M215">
        <f>hmvm3</f>
        <v>27852</v>
      </c>
      <c r="N215" t="s">
        <v>122</v>
      </c>
      <c r="O215" s="240">
        <f>K215/M215*1000</f>
        <v>365.43261487072357</v>
      </c>
      <c r="P215" s="7" t="s">
        <v>123</v>
      </c>
    </row>
    <row r="217" spans="1:16" ht="12.75">
      <c r="A217">
        <v>106</v>
      </c>
      <c r="D217" s="7" t="s">
        <v>124</v>
      </c>
      <c r="I217">
        <f>O203+O211</f>
        <v>36350.10424778355</v>
      </c>
      <c r="J217" t="s">
        <v>114</v>
      </c>
      <c r="K217">
        <f>(((TermálGJ)*tömbtermarány/100)+gázGJ)</f>
        <v>30007.370951999997</v>
      </c>
      <c r="L217" t="s">
        <v>169</v>
      </c>
      <c r="N217" t="s">
        <v>171</v>
      </c>
      <c r="O217" s="7">
        <f>I217/K217*1000</f>
        <v>1211.3725093054447</v>
      </c>
      <c r="P217" s="7" t="s">
        <v>125</v>
      </c>
    </row>
    <row r="220" ht="12.75">
      <c r="C220" s="7" t="s">
        <v>317</v>
      </c>
    </row>
    <row r="221" ht="12.75">
      <c r="C221" s="7"/>
    </row>
    <row r="222" ht="12.75">
      <c r="C222" s="7"/>
    </row>
    <row r="223" spans="1:10" ht="12.75">
      <c r="A223">
        <v>107</v>
      </c>
      <c r="D223" t="s">
        <v>108</v>
      </c>
      <c r="I223">
        <f>összesktsg2</f>
        <v>21833.530750267302</v>
      </c>
      <c r="J223" t="s">
        <v>106</v>
      </c>
    </row>
    <row r="225" spans="1:16" ht="12.75">
      <c r="A225">
        <v>108</v>
      </c>
      <c r="D225" s="7" t="s">
        <v>126</v>
      </c>
      <c r="K225">
        <f>összesktsg2</f>
        <v>21833.530750267302</v>
      </c>
      <c r="L225" t="s">
        <v>127</v>
      </c>
      <c r="M225" s="6">
        <f>Q69</f>
        <v>363.4</v>
      </c>
      <c r="N225" t="s">
        <v>128</v>
      </c>
      <c r="O225" s="240">
        <f>K225/M225</f>
        <v>60.08126238378455</v>
      </c>
      <c r="P225" s="7" t="s">
        <v>123</v>
      </c>
    </row>
    <row r="227" spans="1:16" ht="12.75">
      <c r="A227">
        <v>109</v>
      </c>
      <c r="D227" t="s">
        <v>126</v>
      </c>
      <c r="K227">
        <f>K225</f>
        <v>21833.530750267302</v>
      </c>
      <c r="L227" t="s">
        <v>127</v>
      </c>
      <c r="M227" s="6">
        <f>(Q75+Q79)</f>
        <v>30351.848799999996</v>
      </c>
      <c r="N227" t="s">
        <v>129</v>
      </c>
      <c r="O227" s="35">
        <f>K227/M227*1000</f>
        <v>719.3476382324133</v>
      </c>
      <c r="P227" t="s">
        <v>125</v>
      </c>
    </row>
  </sheetData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3"/>
  <headerFooter alignWithMargins="0">
    <oddHeader>&amp;C&amp;F</oddHeader>
    <oddFooter>&amp;C&amp;A&amp;R&amp;P. oldal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 topLeftCell="A2">
      <selection activeCell="J8" sqref="J8"/>
    </sheetView>
  </sheetViews>
  <sheetFormatPr defaultColWidth="9.00390625" defaultRowHeight="12.75"/>
  <cols>
    <col min="1" max="1" width="3.375" style="0" customWidth="1"/>
    <col min="5" max="6" width="11.75390625" style="0" customWidth="1"/>
    <col min="7" max="7" width="6.875" style="0" customWidth="1"/>
    <col min="8" max="9" width="11.75390625" style="0" customWidth="1"/>
    <col min="10" max="10" width="9.75390625" style="0" customWidth="1"/>
  </cols>
  <sheetData>
    <row r="1" ht="12.75">
      <c r="I1" s="127" t="s">
        <v>325</v>
      </c>
    </row>
    <row r="2" spans="2:9" ht="56.25" customHeight="1">
      <c r="B2" s="243" t="s">
        <v>167</v>
      </c>
      <c r="C2" s="243"/>
      <c r="D2" s="243"/>
      <c r="E2" s="243"/>
      <c r="F2" s="243"/>
      <c r="G2" s="243"/>
      <c r="H2" s="243"/>
      <c r="I2" s="243"/>
    </row>
    <row r="3" spans="2:8" ht="22.5" customHeight="1">
      <c r="B3" s="80"/>
      <c r="C3" s="81"/>
      <c r="D3" s="81"/>
      <c r="E3" s="81"/>
      <c r="F3" s="81"/>
      <c r="G3" s="81"/>
      <c r="H3" s="81"/>
    </row>
    <row r="4" ht="15.75">
      <c r="C4" s="66" t="s">
        <v>333</v>
      </c>
    </row>
    <row r="6" spans="2:5" ht="12.75">
      <c r="B6" t="s">
        <v>152</v>
      </c>
      <c r="D6">
        <v>137</v>
      </c>
      <c r="E6" t="s">
        <v>153</v>
      </c>
    </row>
    <row r="7" spans="2:5" ht="12.75">
      <c r="B7" t="s">
        <v>154</v>
      </c>
      <c r="D7">
        <v>39</v>
      </c>
      <c r="E7" t="s">
        <v>155</v>
      </c>
    </row>
    <row r="8" spans="2:5" ht="12.75">
      <c r="B8" t="s">
        <v>156</v>
      </c>
      <c r="D8">
        <v>60</v>
      </c>
      <c r="E8" t="s">
        <v>157</v>
      </c>
    </row>
    <row r="9" ht="13.5" thickBot="1"/>
    <row r="10" spans="2:10" ht="38.25" customHeight="1">
      <c r="B10" s="248"/>
      <c r="C10" s="249"/>
      <c r="D10" s="249"/>
      <c r="E10" s="252" t="s">
        <v>204</v>
      </c>
      <c r="F10" s="253"/>
      <c r="G10" s="254"/>
      <c r="H10" s="246" t="s">
        <v>210</v>
      </c>
      <c r="I10" s="246"/>
      <c r="J10" s="247"/>
    </row>
    <row r="11" spans="2:10" ht="55.5" customHeight="1" thickBot="1">
      <c r="B11" s="250"/>
      <c r="C11" s="251"/>
      <c r="D11" s="251"/>
      <c r="E11" s="67" t="s">
        <v>159</v>
      </c>
      <c r="F11" s="79" t="s">
        <v>158</v>
      </c>
      <c r="G11" s="69"/>
      <c r="H11" s="68" t="s">
        <v>159</v>
      </c>
      <c r="I11" s="79" t="s">
        <v>158</v>
      </c>
      <c r="J11" s="70" t="s">
        <v>164</v>
      </c>
    </row>
    <row r="12" spans="1:13" ht="21.75" customHeight="1">
      <c r="A12" s="74">
        <v>1</v>
      </c>
      <c r="B12" s="173" t="s">
        <v>160</v>
      </c>
      <c r="C12" s="71"/>
      <c r="D12" s="82"/>
      <c r="E12" s="91">
        <v>189.6</v>
      </c>
      <c r="F12" s="71">
        <f>D6*E12</f>
        <v>25975.2</v>
      </c>
      <c r="G12" s="82"/>
      <c r="H12" s="104">
        <f>árkalktábla!$H$43</f>
        <v>202.7932898779328</v>
      </c>
      <c r="I12" s="72">
        <f>H12*D6</f>
        <v>27782.680713276794</v>
      </c>
      <c r="J12" s="73">
        <f>I12/$I$16</f>
        <v>0.2578282522596395</v>
      </c>
      <c r="M12" s="61"/>
    </row>
    <row r="13" spans="1:13" ht="21.75" customHeight="1">
      <c r="A13" s="74">
        <v>2</v>
      </c>
      <c r="B13" s="174" t="s">
        <v>161</v>
      </c>
      <c r="C13" s="74"/>
      <c r="D13" s="83"/>
      <c r="E13" s="92">
        <v>73.7</v>
      </c>
      <c r="F13" s="74">
        <f>E13*D6</f>
        <v>10096.9</v>
      </c>
      <c r="G13" s="83"/>
      <c r="H13" s="105">
        <f>árkalktábla!$H$45</f>
        <v>78.86405717475162</v>
      </c>
      <c r="I13" s="75">
        <f>H13*D6</f>
        <v>10804.375832940972</v>
      </c>
      <c r="J13" s="76">
        <f>I13/$I$16</f>
        <v>0.10026654254541534</v>
      </c>
      <c r="M13" s="61"/>
    </row>
    <row r="14" spans="1:13" ht="21.75" customHeight="1">
      <c r="A14" s="74">
        <v>3</v>
      </c>
      <c r="B14" s="174" t="s">
        <v>162</v>
      </c>
      <c r="C14" s="74"/>
      <c r="D14" s="83"/>
      <c r="E14" s="92">
        <v>1078.5</v>
      </c>
      <c r="F14" s="74">
        <f>E14*D7</f>
        <v>42061.5</v>
      </c>
      <c r="G14" s="83"/>
      <c r="H14" s="105">
        <f>árkalktábla!$H$47</f>
        <v>1211.3725093054447</v>
      </c>
      <c r="I14" s="75">
        <f>H14*D7</f>
        <v>47243.52786291234</v>
      </c>
      <c r="J14" s="76">
        <f>I14/$I$16</f>
        <v>0.4384283987993048</v>
      </c>
      <c r="M14" s="61"/>
    </row>
    <row r="15" spans="1:13" ht="21.75" customHeight="1">
      <c r="A15" s="74">
        <v>4</v>
      </c>
      <c r="B15" s="242" t="s">
        <v>163</v>
      </c>
      <c r="C15" s="242"/>
      <c r="D15" s="242"/>
      <c r="E15" s="92">
        <v>339.8</v>
      </c>
      <c r="F15" s="74">
        <f>E15*D8</f>
        <v>20388</v>
      </c>
      <c r="G15" s="83"/>
      <c r="H15" s="105">
        <f>árkalktábla!$H$49</f>
        <v>365.43261487072357</v>
      </c>
      <c r="I15" s="75">
        <f>H15*D8</f>
        <v>21925.956892243415</v>
      </c>
      <c r="J15" s="76">
        <f>I15/$I$16</f>
        <v>0.20347680639564047</v>
      </c>
      <c r="M15" s="61"/>
    </row>
    <row r="16" spans="1:13" ht="21.75" customHeight="1" thickBot="1">
      <c r="A16" s="74">
        <v>5</v>
      </c>
      <c r="B16" s="175" t="s">
        <v>166</v>
      </c>
      <c r="C16" s="78"/>
      <c r="D16" s="84"/>
      <c r="E16" s="77"/>
      <c r="F16" s="85">
        <f>SUM(F12:F15)</f>
        <v>98521.6</v>
      </c>
      <c r="G16" s="84"/>
      <c r="H16" s="77"/>
      <c r="I16" s="86">
        <f>SUM(I12:I15)</f>
        <v>107756.54130137351</v>
      </c>
      <c r="J16" s="87">
        <f>SUM(J12:J15)</f>
        <v>1</v>
      </c>
      <c r="M16" s="61"/>
    </row>
    <row r="17" spans="3:13" ht="47.25" customHeight="1" thickBot="1">
      <c r="C17" s="244" t="s">
        <v>173</v>
      </c>
      <c r="D17" s="245"/>
      <c r="E17" s="245"/>
      <c r="F17" s="245"/>
      <c r="G17" s="245"/>
      <c r="H17" s="95">
        <f>((I16/F16)-1)*100</f>
        <v>9.373519412365926</v>
      </c>
      <c r="M17" s="61"/>
    </row>
    <row r="18" ht="13.5" thickTop="1">
      <c r="M18" s="61"/>
    </row>
    <row r="19" ht="12.75">
      <c r="M19" s="61"/>
    </row>
    <row r="20" ht="12.75">
      <c r="M20" s="61"/>
    </row>
  </sheetData>
  <mergeCells count="6">
    <mergeCell ref="B15:D15"/>
    <mergeCell ref="B2:I2"/>
    <mergeCell ref="C17:G17"/>
    <mergeCell ref="H10:J10"/>
    <mergeCell ref="B10:D11"/>
    <mergeCell ref="E10:G10"/>
  </mergeCells>
  <printOptions/>
  <pageMargins left="0.629921259842519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M16" sqref="M16"/>
    </sheetView>
  </sheetViews>
  <sheetFormatPr defaultColWidth="9.00390625" defaultRowHeight="12.75"/>
  <cols>
    <col min="1" max="1" width="2.625" style="0" customWidth="1"/>
    <col min="5" max="6" width="11.75390625" style="0" customWidth="1"/>
    <col min="7" max="7" width="7.75390625" style="0" customWidth="1"/>
    <col min="8" max="8" width="11.125" style="0" customWidth="1"/>
    <col min="9" max="9" width="11.75390625" style="0" customWidth="1"/>
    <col min="10" max="10" width="9.75390625" style="0" customWidth="1"/>
  </cols>
  <sheetData>
    <row r="1" ht="12.75">
      <c r="I1" s="127" t="s">
        <v>334</v>
      </c>
    </row>
    <row r="2" spans="2:9" ht="56.25" customHeight="1">
      <c r="B2" s="243" t="s">
        <v>167</v>
      </c>
      <c r="C2" s="243"/>
      <c r="D2" s="243"/>
      <c r="E2" s="243"/>
      <c r="F2" s="243"/>
      <c r="G2" s="243"/>
      <c r="H2" s="243"/>
      <c r="I2" s="243"/>
    </row>
    <row r="3" spans="2:9" ht="15.75" customHeight="1">
      <c r="B3" s="80"/>
      <c r="C3" s="80"/>
      <c r="D3" s="80"/>
      <c r="E3" s="80"/>
      <c r="F3" s="80"/>
      <c r="G3" s="80"/>
      <c r="H3" s="80"/>
      <c r="I3" s="80"/>
    </row>
    <row r="4" ht="15.75">
      <c r="C4" s="66" t="s">
        <v>331</v>
      </c>
    </row>
    <row r="5" spans="3:5" ht="15.75">
      <c r="C5" s="66"/>
      <c r="E5" t="s">
        <v>332</v>
      </c>
    </row>
    <row r="6" ht="15.75">
      <c r="C6" s="66"/>
    </row>
    <row r="7" ht="15.75">
      <c r="C7" s="66"/>
    </row>
    <row r="9" spans="2:5" ht="12.75">
      <c r="B9" t="s">
        <v>152</v>
      </c>
      <c r="D9">
        <v>137</v>
      </c>
      <c r="E9" t="s">
        <v>153</v>
      </c>
    </row>
    <row r="10" spans="2:5" ht="12.75">
      <c r="B10" t="s">
        <v>154</v>
      </c>
      <c r="D10">
        <v>39</v>
      </c>
      <c r="E10" t="s">
        <v>155</v>
      </c>
    </row>
    <row r="11" spans="2:5" ht="12.75">
      <c r="B11" t="s">
        <v>156</v>
      </c>
      <c r="D11">
        <v>60</v>
      </c>
      <c r="E11" t="s">
        <v>157</v>
      </c>
    </row>
    <row r="12" ht="13.5" thickBot="1"/>
    <row r="13" spans="2:10" ht="38.25" customHeight="1">
      <c r="B13" s="248"/>
      <c r="C13" s="249"/>
      <c r="D13" s="249"/>
      <c r="E13" s="252" t="s">
        <v>204</v>
      </c>
      <c r="F13" s="253"/>
      <c r="G13" s="254"/>
      <c r="H13" s="246" t="s">
        <v>210</v>
      </c>
      <c r="I13" s="246"/>
      <c r="J13" s="247"/>
    </row>
    <row r="14" spans="2:10" ht="55.5" customHeight="1" thickBot="1">
      <c r="B14" s="250"/>
      <c r="C14" s="251"/>
      <c r="D14" s="251"/>
      <c r="E14" s="67" t="s">
        <v>159</v>
      </c>
      <c r="F14" s="79" t="s">
        <v>158</v>
      </c>
      <c r="G14" s="69"/>
      <c r="H14" s="68" t="s">
        <v>159</v>
      </c>
      <c r="I14" s="79" t="s">
        <v>158</v>
      </c>
      <c r="J14" s="70" t="s">
        <v>164</v>
      </c>
    </row>
    <row r="15" spans="1:13" ht="21.75" customHeight="1">
      <c r="A15" s="74">
        <v>1</v>
      </c>
      <c r="B15" s="173" t="s">
        <v>160</v>
      </c>
      <c r="C15" s="71"/>
      <c r="D15" s="82"/>
      <c r="E15" s="91">
        <f>189.6*1.2</f>
        <v>227.51999999999998</v>
      </c>
      <c r="F15" s="72">
        <f>D9*E15</f>
        <v>31170.239999999998</v>
      </c>
      <c r="G15" s="82"/>
      <c r="H15" s="104">
        <f>árkalktábla!$H$43*1.2</f>
        <v>243.35194785351936</v>
      </c>
      <c r="I15" s="72">
        <f>H15*D9</f>
        <v>33339.21685593215</v>
      </c>
      <c r="J15" s="73">
        <f>I15/$I$19</f>
        <v>0.25782825225963946</v>
      </c>
      <c r="M15" s="61"/>
    </row>
    <row r="16" spans="1:13" ht="21.75" customHeight="1">
      <c r="A16" s="74">
        <v>2</v>
      </c>
      <c r="B16" s="174" t="s">
        <v>161</v>
      </c>
      <c r="C16" s="74"/>
      <c r="D16" s="83"/>
      <c r="E16" s="92">
        <f>73.7*1.2</f>
        <v>88.44</v>
      </c>
      <c r="F16" s="75">
        <f>E16*D9</f>
        <v>12116.279999999999</v>
      </c>
      <c r="G16" s="83"/>
      <c r="H16" s="105">
        <f>árkalktábla!$H$45*1.2</f>
        <v>94.63686860970195</v>
      </c>
      <c r="I16" s="75">
        <f>H16*D9</f>
        <v>12965.250999529168</v>
      </c>
      <c r="J16" s="76">
        <f>I16/$I$19</f>
        <v>0.10026654254541532</v>
      </c>
      <c r="M16" s="61"/>
    </row>
    <row r="17" spans="1:13" ht="21.75" customHeight="1">
      <c r="A17" s="74">
        <v>3</v>
      </c>
      <c r="B17" s="174" t="s">
        <v>162</v>
      </c>
      <c r="C17" s="74"/>
      <c r="D17" s="83"/>
      <c r="E17" s="92">
        <f>1078.5*1.2</f>
        <v>1294.2</v>
      </c>
      <c r="F17" s="75">
        <f>E17*D10</f>
        <v>50473.8</v>
      </c>
      <c r="G17" s="83"/>
      <c r="H17" s="105">
        <f>árkalktábla!$H$47*1.2</f>
        <v>1453.6470111665337</v>
      </c>
      <c r="I17" s="75">
        <f>H17*D10</f>
        <v>56692.23343549482</v>
      </c>
      <c r="J17" s="76">
        <f>I17/$I$19</f>
        <v>0.43842839879930473</v>
      </c>
      <c r="M17" s="61"/>
    </row>
    <row r="18" spans="1:13" ht="21.75" customHeight="1">
      <c r="A18" s="74">
        <v>4</v>
      </c>
      <c r="B18" s="242" t="s">
        <v>163</v>
      </c>
      <c r="C18" s="242"/>
      <c r="D18" s="242"/>
      <c r="E18" s="92">
        <f>339.8*1.2</f>
        <v>407.76</v>
      </c>
      <c r="F18" s="75">
        <f>E18*D11</f>
        <v>24465.6</v>
      </c>
      <c r="G18" s="83"/>
      <c r="H18" s="105">
        <f>árkalktábla!$H$49*1.2</f>
        <v>438.5191378448683</v>
      </c>
      <c r="I18" s="75">
        <f>H18*D11</f>
        <v>26311.148270692098</v>
      </c>
      <c r="J18" s="76">
        <f>I18/$I$19</f>
        <v>0.20347680639564045</v>
      </c>
      <c r="M18" s="61"/>
    </row>
    <row r="19" spans="1:13" ht="21.75" customHeight="1" thickBot="1">
      <c r="A19" s="74">
        <v>5</v>
      </c>
      <c r="B19" s="175" t="s">
        <v>166</v>
      </c>
      <c r="C19" s="78"/>
      <c r="D19" s="84"/>
      <c r="E19" s="77"/>
      <c r="F19" s="86">
        <f>SUM(F15:F18)</f>
        <v>118225.92000000001</v>
      </c>
      <c r="G19" s="84"/>
      <c r="H19" s="238"/>
      <c r="I19" s="86">
        <f>SUM(I15:I18)</f>
        <v>129307.84956164824</v>
      </c>
      <c r="J19" s="87">
        <f>SUM(J15:J18)</f>
        <v>1</v>
      </c>
      <c r="M19" s="61"/>
    </row>
    <row r="20" spans="3:13" ht="47.25" customHeight="1" thickBot="1">
      <c r="C20" s="244" t="s">
        <v>173</v>
      </c>
      <c r="D20" s="245"/>
      <c r="E20" s="245"/>
      <c r="F20" s="245"/>
      <c r="G20" s="245"/>
      <c r="H20" s="239">
        <f>((I19/F19)-1)*100</f>
        <v>9.37351941236595</v>
      </c>
      <c r="M20" s="61"/>
    </row>
    <row r="21" ht="13.5" thickTop="1">
      <c r="M21" s="61"/>
    </row>
    <row r="22" ht="12.75">
      <c r="M22" s="61"/>
    </row>
    <row r="23" ht="12.75">
      <c r="M23" s="61"/>
    </row>
  </sheetData>
  <mergeCells count="6">
    <mergeCell ref="B18:D18"/>
    <mergeCell ref="C20:G20"/>
    <mergeCell ref="B2:I2"/>
    <mergeCell ref="B13:D14"/>
    <mergeCell ref="E13:G13"/>
    <mergeCell ref="H13:J13"/>
  </mergeCells>
  <printOptions/>
  <pageMargins left="0.1968503937007874" right="0.5905511811023623" top="0.984251968503937" bottom="0.984251968503937" header="0.5118110236220472" footer="0.5118110236220472"/>
  <pageSetup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48"/>
  <sheetViews>
    <sheetView showGridLines="0" workbookViewId="0" topLeftCell="A1">
      <selection activeCell="H3" sqref="H3"/>
    </sheetView>
  </sheetViews>
  <sheetFormatPr defaultColWidth="9.00390625" defaultRowHeight="12.75"/>
  <cols>
    <col min="2" max="2" width="4.875" style="0" customWidth="1"/>
    <col min="3" max="3" width="8.25390625" style="0" hidden="1" customWidth="1"/>
    <col min="4" max="4" width="19.00390625" style="0" customWidth="1"/>
    <col min="5" max="5" width="8.875" style="0" customWidth="1"/>
    <col min="6" max="6" width="9.75390625" style="0" customWidth="1"/>
    <col min="8" max="8" width="9.375" style="100" customWidth="1"/>
  </cols>
  <sheetData>
    <row r="2" spans="4:8" ht="12.75">
      <c r="D2" s="7" t="s">
        <v>245</v>
      </c>
      <c r="E2" s="106"/>
      <c r="F2" s="106"/>
      <c r="H2" s="128" t="s">
        <v>249</v>
      </c>
    </row>
    <row r="3" spans="4:8" ht="12.75">
      <c r="D3" s="7" t="s">
        <v>247</v>
      </c>
      <c r="E3" s="106"/>
      <c r="F3" s="106"/>
      <c r="H3" s="128"/>
    </row>
    <row r="4" spans="4:8" ht="12.75">
      <c r="D4" s="7" t="s">
        <v>246</v>
      </c>
      <c r="E4" s="106"/>
      <c r="F4" s="106"/>
      <c r="H4" s="128"/>
    </row>
    <row r="5" spans="5:9" ht="13.5" thickBot="1">
      <c r="E5" s="107"/>
      <c r="F5" s="15"/>
      <c r="G5" s="15"/>
      <c r="H5" s="129"/>
      <c r="I5" s="15"/>
    </row>
    <row r="6" spans="5:8" ht="12.75">
      <c r="E6" s="108" t="s">
        <v>215</v>
      </c>
      <c r="F6" s="109"/>
      <c r="G6" s="161">
        <v>2006</v>
      </c>
      <c r="H6" s="159" t="s">
        <v>244</v>
      </c>
    </row>
    <row r="7" spans="4:8" ht="13.5" thickBot="1">
      <c r="D7" s="38"/>
      <c r="E7" s="110" t="s">
        <v>216</v>
      </c>
      <c r="F7" s="111" t="s">
        <v>217</v>
      </c>
      <c r="G7" s="133" t="s">
        <v>218</v>
      </c>
      <c r="H7" s="160" t="s">
        <v>216</v>
      </c>
    </row>
    <row r="8" spans="2:8" ht="12.75">
      <c r="B8" s="112">
        <v>1</v>
      </c>
      <c r="D8" s="113" t="s">
        <v>219</v>
      </c>
      <c r="E8" s="114">
        <f>'[1]résztbla'!E6</f>
        <v>510</v>
      </c>
      <c r="F8" s="134">
        <f>'[1]résztbla'!F6</f>
        <v>176</v>
      </c>
      <c r="G8" s="153">
        <f>F8/9*12</f>
        <v>234.66666666666669</v>
      </c>
      <c r="H8" s="112">
        <v>580</v>
      </c>
    </row>
    <row r="9" spans="2:8" ht="12.75">
      <c r="B9" s="115"/>
      <c r="D9" s="116"/>
      <c r="E9" s="117"/>
      <c r="F9" s="135"/>
      <c r="G9" s="152"/>
      <c r="H9" s="115"/>
    </row>
    <row r="10" spans="2:8" ht="12.75">
      <c r="B10" s="115">
        <v>2</v>
      </c>
      <c r="D10" s="116" t="s">
        <v>220</v>
      </c>
      <c r="E10" s="117">
        <f>'[1]résztbla'!E8</f>
        <v>5258</v>
      </c>
      <c r="F10" s="136">
        <f>'[1]résztbla'!F8</f>
        <v>3640</v>
      </c>
      <c r="G10" s="151">
        <f>F10/9*12*1.126</f>
        <v>5464.8533333333335</v>
      </c>
      <c r="H10" s="154">
        <f>G10*1.062</f>
        <v>5803.67424</v>
      </c>
    </row>
    <row r="11" spans="2:8" ht="12.75">
      <c r="B11" s="115"/>
      <c r="D11" s="116"/>
      <c r="E11" s="117"/>
      <c r="F11" s="135"/>
      <c r="G11" s="152"/>
      <c r="H11" s="115"/>
    </row>
    <row r="12" spans="2:8" ht="12.75">
      <c r="B12" s="115">
        <v>3</v>
      </c>
      <c r="D12" s="116" t="s">
        <v>221</v>
      </c>
      <c r="E12" s="117">
        <f>'[1]résztbla'!E10</f>
        <v>9597</v>
      </c>
      <c r="F12" s="136">
        <f>'[1]résztbla'!F10</f>
        <v>7118</v>
      </c>
      <c r="G12" s="151">
        <f>F12/9*12*1.1</f>
        <v>10439.733333333335</v>
      </c>
      <c r="H12" s="115">
        <f>6456+5830+447</f>
        <v>12733</v>
      </c>
    </row>
    <row r="13" spans="2:8" ht="12.75">
      <c r="B13" s="115"/>
      <c r="D13" s="116"/>
      <c r="E13" s="117"/>
      <c r="F13" s="135"/>
      <c r="G13" s="152"/>
      <c r="H13" s="115"/>
    </row>
    <row r="14" spans="2:8" ht="12.75">
      <c r="B14" s="115">
        <v>4</v>
      </c>
      <c r="D14" s="116" t="s">
        <v>222</v>
      </c>
      <c r="E14" s="117">
        <f>'[1]résztbla'!E12</f>
        <v>16</v>
      </c>
      <c r="F14" s="136">
        <f>'[1]résztbla'!F12</f>
        <v>18</v>
      </c>
      <c r="G14" s="152">
        <v>20</v>
      </c>
      <c r="H14" s="115">
        <v>20</v>
      </c>
    </row>
    <row r="15" spans="2:8" ht="12.75">
      <c r="B15" s="115"/>
      <c r="D15" s="116"/>
      <c r="E15" s="117"/>
      <c r="F15" s="135"/>
      <c r="G15" s="152"/>
      <c r="H15" s="115"/>
    </row>
    <row r="16" spans="2:8" ht="12.75">
      <c r="B16" s="115">
        <v>5</v>
      </c>
      <c r="D16" s="116" t="s">
        <v>223</v>
      </c>
      <c r="E16" s="117">
        <f>'[1]résztbla'!E14</f>
        <v>80</v>
      </c>
      <c r="F16" s="136">
        <f>'[1]résztbla'!F14</f>
        <v>0</v>
      </c>
      <c r="G16" s="152"/>
      <c r="H16" s="115">
        <v>0</v>
      </c>
    </row>
    <row r="17" spans="2:8" ht="12.75">
      <c r="B17" s="115"/>
      <c r="D17" s="116"/>
      <c r="E17" s="117"/>
      <c r="F17" s="135"/>
      <c r="G17" s="152"/>
      <c r="H17" s="115"/>
    </row>
    <row r="18" spans="2:8" ht="12.75">
      <c r="B18" s="115">
        <v>6</v>
      </c>
      <c r="D18" s="116" t="s">
        <v>224</v>
      </c>
      <c r="E18" s="117">
        <f>'[1]résztbla'!E16</f>
        <v>7932</v>
      </c>
      <c r="F18" s="136">
        <f>'[1]résztbla'!F16</f>
        <v>6066</v>
      </c>
      <c r="G18" s="151">
        <f>F18/9*12*1.04</f>
        <v>8411.52</v>
      </c>
      <c r="H18" s="154">
        <f>G18*1.04</f>
        <v>8747.980800000001</v>
      </c>
    </row>
    <row r="19" spans="2:8" ht="12.75">
      <c r="B19" s="115"/>
      <c r="D19" s="116"/>
      <c r="E19" s="117"/>
      <c r="F19" s="135"/>
      <c r="G19" s="152"/>
      <c r="H19" s="115"/>
    </row>
    <row r="20" spans="2:8" ht="12.75">
      <c r="B20" s="115">
        <v>7</v>
      </c>
      <c r="D20" s="116" t="s">
        <v>225</v>
      </c>
      <c r="E20" s="117">
        <f>'[1]résztbla'!E18</f>
        <v>431</v>
      </c>
      <c r="F20" s="136">
        <f>'[1]résztbla'!F18</f>
        <v>386</v>
      </c>
      <c r="G20" s="151">
        <f>F20/9*12</f>
        <v>514.6666666666666</v>
      </c>
      <c r="H20" s="115">
        <v>550</v>
      </c>
    </row>
    <row r="21" spans="2:8" ht="12.75">
      <c r="B21" s="115"/>
      <c r="D21" s="116"/>
      <c r="E21" s="117"/>
      <c r="F21" s="135"/>
      <c r="G21" s="152"/>
      <c r="H21" s="154"/>
    </row>
    <row r="22" spans="2:8" ht="12.75">
      <c r="B22" s="115">
        <v>8</v>
      </c>
      <c r="D22" s="116" t="s">
        <v>226</v>
      </c>
      <c r="E22" s="117">
        <f>'[1]résztbla'!E20</f>
        <v>2827</v>
      </c>
      <c r="F22" s="136">
        <f>'[1]résztbla'!F20</f>
        <v>2002</v>
      </c>
      <c r="G22" s="151">
        <f>F22/9*12*1.04</f>
        <v>2776.106666666667</v>
      </c>
      <c r="H22" s="154">
        <f>H18*0.336</f>
        <v>2939.3215488000005</v>
      </c>
    </row>
    <row r="23" spans="2:8" ht="12.75">
      <c r="B23" s="115"/>
      <c r="D23" s="116"/>
      <c r="E23" s="117"/>
      <c r="F23" s="135"/>
      <c r="G23" s="152"/>
      <c r="H23" s="115"/>
    </row>
    <row r="24" spans="2:8" ht="12.75">
      <c r="B24" s="115">
        <v>9</v>
      </c>
      <c r="D24" s="116" t="s">
        <v>227</v>
      </c>
      <c r="E24" s="117">
        <f>'[1]résztbla'!E22</f>
        <v>5500</v>
      </c>
      <c r="F24" s="136">
        <f>'[1]résztbla'!F22</f>
        <v>4372</v>
      </c>
      <c r="G24" s="151">
        <f>F24/3*4</f>
        <v>5829.333333333333</v>
      </c>
      <c r="H24" s="115">
        <v>5800</v>
      </c>
    </row>
    <row r="25" spans="2:8" ht="12.75">
      <c r="B25" s="115"/>
      <c r="D25" s="116"/>
      <c r="E25" s="117"/>
      <c r="F25" s="135"/>
      <c r="G25" s="152"/>
      <c r="H25" s="115"/>
    </row>
    <row r="26" spans="2:8" ht="12.75">
      <c r="B26" s="115">
        <v>10</v>
      </c>
      <c r="D26" s="118" t="s">
        <v>228</v>
      </c>
      <c r="E26" s="117">
        <f>'[1]résztbla'!E24</f>
        <v>3000</v>
      </c>
      <c r="F26" s="136">
        <f>'[1]résztbla'!F24</f>
        <v>1440</v>
      </c>
      <c r="G26" s="152">
        <f>F26/9*12</f>
        <v>1920</v>
      </c>
      <c r="H26" s="154">
        <f>G26/9*12*1.062</f>
        <v>2718.7200000000003</v>
      </c>
    </row>
    <row r="27" spans="2:8" ht="12.75">
      <c r="B27" s="115"/>
      <c r="D27" s="116"/>
      <c r="E27" s="117"/>
      <c r="F27" s="135"/>
      <c r="G27" s="152"/>
      <c r="H27" s="115"/>
    </row>
    <row r="28" spans="2:8" ht="12.75">
      <c r="B28" s="115">
        <v>11</v>
      </c>
      <c r="D28" s="116" t="s">
        <v>229</v>
      </c>
      <c r="E28" s="117">
        <f>'[1]résztbla'!E26</f>
        <v>2000</v>
      </c>
      <c r="F28" s="136">
        <f>'[1]résztbla'!F26</f>
        <v>0</v>
      </c>
      <c r="G28" s="152">
        <v>1911</v>
      </c>
      <c r="H28" s="115">
        <v>1911</v>
      </c>
    </row>
    <row r="29" spans="2:8" ht="12.75">
      <c r="B29" s="115"/>
      <c r="D29" s="116"/>
      <c r="E29" s="117"/>
      <c r="F29" s="135"/>
      <c r="G29" s="152"/>
      <c r="H29" s="115"/>
    </row>
    <row r="30" spans="2:8" ht="12.75">
      <c r="B30" s="115">
        <v>12</v>
      </c>
      <c r="D30" s="116" t="s">
        <v>230</v>
      </c>
      <c r="E30" s="117">
        <f>'[1]résztbla'!E28</f>
        <v>0</v>
      </c>
      <c r="F30" s="136">
        <f>'[1]résztbla'!F28</f>
        <v>0</v>
      </c>
      <c r="G30" s="152">
        <v>0</v>
      </c>
      <c r="H30" s="115"/>
    </row>
    <row r="31" spans="2:8" ht="12.75">
      <c r="B31" s="115"/>
      <c r="D31" s="116"/>
      <c r="E31" s="117"/>
      <c r="F31" s="135"/>
      <c r="G31" s="152"/>
      <c r="H31" s="115"/>
    </row>
    <row r="32" spans="2:8" ht="12.75">
      <c r="B32" s="115">
        <v>13</v>
      </c>
      <c r="D32" s="116" t="s">
        <v>231</v>
      </c>
      <c r="E32" s="117">
        <f>'[1]résztbla'!E30</f>
        <v>11293</v>
      </c>
      <c r="F32" s="136">
        <f>'[1]résztbla'!F30</f>
        <v>7126</v>
      </c>
      <c r="G32" s="151">
        <f>F32/9*12*1.12</f>
        <v>10641.493333333336</v>
      </c>
      <c r="H32" s="154">
        <f>G32*1.062</f>
        <v>11301.265920000003</v>
      </c>
    </row>
    <row r="33" spans="2:8" ht="12.75">
      <c r="B33" s="115"/>
      <c r="D33" s="116"/>
      <c r="E33" s="117"/>
      <c r="F33" s="135"/>
      <c r="G33" s="152"/>
      <c r="H33" s="115"/>
    </row>
    <row r="34" spans="2:8" ht="12.75">
      <c r="B34" s="115">
        <v>14</v>
      </c>
      <c r="D34" s="116" t="s">
        <v>232</v>
      </c>
      <c r="E34" s="117">
        <f>'[1]résztbla'!E32</f>
        <v>864</v>
      </c>
      <c r="F34" s="136">
        <f>'[1]résztbla'!F32</f>
        <v>492</v>
      </c>
      <c r="G34" s="151">
        <f>F34/9*12*1.133</f>
        <v>743.248</v>
      </c>
      <c r="H34" s="154">
        <f>G34*1.062</f>
        <v>789.3293760000001</v>
      </c>
    </row>
    <row r="35" spans="2:8" ht="12.75">
      <c r="B35" s="115"/>
      <c r="D35" s="116"/>
      <c r="E35" s="117"/>
      <c r="F35" s="135"/>
      <c r="G35" s="152"/>
      <c r="H35" s="115"/>
    </row>
    <row r="36" spans="2:8" ht="12.75">
      <c r="B36" s="115">
        <v>15</v>
      </c>
      <c r="D36" s="116" t="s">
        <v>233</v>
      </c>
      <c r="E36" s="117">
        <f>'[1]résztbla'!E34</f>
        <v>0</v>
      </c>
      <c r="F36" s="136">
        <f>'[1]résztbla'!F34</f>
        <v>0</v>
      </c>
      <c r="G36" s="152"/>
      <c r="H36" s="115"/>
    </row>
    <row r="37" spans="2:8" ht="12.75">
      <c r="B37" s="115"/>
      <c r="D37" s="116"/>
      <c r="E37" s="117"/>
      <c r="F37" s="135"/>
      <c r="G37" s="152"/>
      <c r="H37" s="115"/>
    </row>
    <row r="38" spans="2:8" ht="12.75">
      <c r="B38" s="115">
        <v>16</v>
      </c>
      <c r="D38" s="116" t="s">
        <v>234</v>
      </c>
      <c r="E38" s="117">
        <f>'[1]résztbla'!E36</f>
        <v>300</v>
      </c>
      <c r="F38" s="136">
        <f>'[1]résztbla'!F36</f>
        <v>0</v>
      </c>
      <c r="G38" s="152">
        <v>300</v>
      </c>
      <c r="H38" s="115">
        <v>300</v>
      </c>
    </row>
    <row r="39" spans="2:8" ht="12.75">
      <c r="B39" s="115"/>
      <c r="D39" s="116"/>
      <c r="E39" s="119"/>
      <c r="F39" s="137"/>
      <c r="G39" s="152"/>
      <c r="H39" s="115"/>
    </row>
    <row r="40" spans="2:8" ht="12.75">
      <c r="B40" s="115">
        <v>17</v>
      </c>
      <c r="D40" s="120" t="s">
        <v>235</v>
      </c>
      <c r="E40" s="121">
        <f>'[1]résztbla'!E38</f>
        <v>0</v>
      </c>
      <c r="F40" s="138">
        <f>'[1]résztbla'!F38</f>
        <v>0</v>
      </c>
      <c r="G40" s="152"/>
      <c r="H40" s="115">
        <v>0</v>
      </c>
    </row>
    <row r="41" spans="2:8" ht="12.75">
      <c r="B41" s="115"/>
      <c r="D41" s="120"/>
      <c r="E41" s="122"/>
      <c r="F41" s="138"/>
      <c r="G41" s="152"/>
      <c r="H41" s="115"/>
    </row>
    <row r="42" spans="2:8" ht="13.5" thickBot="1">
      <c r="B42" s="115">
        <v>18</v>
      </c>
      <c r="D42" s="120" t="s">
        <v>236</v>
      </c>
      <c r="E42" s="119">
        <f>'[1]résztbla'!E40</f>
        <v>0</v>
      </c>
      <c r="F42" s="139">
        <f>'[1]résztbla'!F40</f>
        <v>0</v>
      </c>
      <c r="G42" s="162"/>
      <c r="H42" s="115">
        <v>0</v>
      </c>
    </row>
    <row r="43" spans="2:8" ht="13.5" thickBot="1">
      <c r="B43" s="115">
        <v>19</v>
      </c>
      <c r="D43" s="142" t="s">
        <v>237</v>
      </c>
      <c r="E43" s="143">
        <f>SUM(E8:E42)</f>
        <v>49608</v>
      </c>
      <c r="F43" s="144">
        <f>SUM(F8:F42)</f>
        <v>32836</v>
      </c>
      <c r="G43" s="163">
        <f>SUM(G8:G42)</f>
        <v>49206.621333333336</v>
      </c>
      <c r="H43" s="155">
        <f>SUM(H8:H42)</f>
        <v>54194.29188480001</v>
      </c>
    </row>
    <row r="44" spans="2:8" ht="13.5" thickBot="1">
      <c r="B44" s="115">
        <v>20</v>
      </c>
      <c r="D44" s="147" t="s">
        <v>238</v>
      </c>
      <c r="E44" s="114">
        <f>'[1]résztbla'!E42</f>
        <v>2600</v>
      </c>
      <c r="F44" s="148">
        <f>'[1]résztbla'!F42</f>
        <v>1950</v>
      </c>
      <c r="G44" s="112">
        <v>2600</v>
      </c>
      <c r="H44" s="112">
        <v>2812</v>
      </c>
    </row>
    <row r="45" spans="2:8" ht="13.5" thickBot="1">
      <c r="B45" s="115">
        <v>21</v>
      </c>
      <c r="D45" s="147" t="s">
        <v>239</v>
      </c>
      <c r="E45" s="149">
        <f>'[1]résztbla'!E43</f>
        <v>4596</v>
      </c>
      <c r="F45" s="150">
        <f>'[1]résztbla'!F43</f>
        <v>3447</v>
      </c>
      <c r="G45" s="125">
        <v>4596</v>
      </c>
      <c r="H45" s="125">
        <v>4971</v>
      </c>
    </row>
    <row r="46" spans="2:8" ht="13.5" thickBot="1">
      <c r="B46" s="115">
        <v>22</v>
      </c>
      <c r="D46" s="126" t="s">
        <v>240</v>
      </c>
      <c r="E46" s="145">
        <f>E43+E44+E45</f>
        <v>56804</v>
      </c>
      <c r="F46" s="146">
        <f>F43+F44+F45</f>
        <v>38233</v>
      </c>
      <c r="G46" s="156">
        <f>SUM(G43:G45)</f>
        <v>56402.621333333336</v>
      </c>
      <c r="H46" s="156">
        <f>SUM(H43:H45)</f>
        <v>61977.29188480001</v>
      </c>
    </row>
    <row r="47" spans="2:8" ht="13.5" thickBot="1">
      <c r="B47" s="115">
        <v>23</v>
      </c>
      <c r="D47" s="123" t="s">
        <v>243</v>
      </c>
      <c r="E47" s="130"/>
      <c r="F47" s="131"/>
      <c r="G47" s="157">
        <f>G48-G46</f>
        <v>347.77866666666523</v>
      </c>
      <c r="H47" s="157">
        <v>1239</v>
      </c>
    </row>
    <row r="48" spans="2:8" ht="13.5" thickBot="1">
      <c r="B48" s="115">
        <v>24</v>
      </c>
      <c r="D48" s="124" t="s">
        <v>241</v>
      </c>
      <c r="E48" s="141">
        <f>'[1]résztbla'!E45</f>
        <v>56828</v>
      </c>
      <c r="F48" s="140">
        <f>'[1]résztbla'!F45</f>
        <v>40536</v>
      </c>
      <c r="G48" s="132">
        <f>F48/9*12*1.05</f>
        <v>56750.4</v>
      </c>
      <c r="H48" s="158">
        <f>H46+H47</f>
        <v>63216.29188480001</v>
      </c>
    </row>
  </sheetData>
  <printOptions/>
  <pageMargins left="0.75" right="0.75" top="1" bottom="1" header="0.5" footer="0.5"/>
  <pageSetup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C19" sqref="C19"/>
    </sheetView>
  </sheetViews>
  <sheetFormatPr defaultColWidth="9.00390625" defaultRowHeight="12.75"/>
  <sheetData>
    <row r="1" spans="4:10" ht="84.75" customHeight="1">
      <c r="D1" s="243" t="s">
        <v>188</v>
      </c>
      <c r="E1" s="243"/>
      <c r="F1" s="243"/>
      <c r="G1" s="243"/>
      <c r="H1" s="243"/>
      <c r="I1" s="243"/>
      <c r="J1" s="243"/>
    </row>
    <row r="2" spans="1:7" ht="12.75">
      <c r="A2" s="255" t="s">
        <v>180</v>
      </c>
      <c r="B2" s="255"/>
      <c r="C2" s="255"/>
      <c r="D2" t="s">
        <v>154</v>
      </c>
      <c r="F2">
        <f>Díjváltozás!$D$7</f>
        <v>39</v>
      </c>
      <c r="G2" t="s">
        <v>174</v>
      </c>
    </row>
    <row r="3" spans="1:7" ht="12.75">
      <c r="A3" s="255"/>
      <c r="B3" s="255"/>
      <c r="C3" s="255"/>
      <c r="D3" t="s">
        <v>156</v>
      </c>
      <c r="F3">
        <f>Díjváltozás!$D$8</f>
        <v>60</v>
      </c>
      <c r="G3" t="s">
        <v>157</v>
      </c>
    </row>
    <row r="5" spans="1:4" ht="12.75">
      <c r="A5" t="s">
        <v>175</v>
      </c>
      <c r="D5" s="93">
        <v>0.85</v>
      </c>
    </row>
    <row r="6" spans="1:4" ht="12.75">
      <c r="A6" t="s">
        <v>176</v>
      </c>
      <c r="D6" s="93">
        <v>0.88</v>
      </c>
    </row>
    <row r="7" spans="1:4" ht="12.75">
      <c r="A7" t="s">
        <v>181</v>
      </c>
      <c r="D7" s="93">
        <v>1.04</v>
      </c>
    </row>
    <row r="8" spans="1:4" ht="12.75">
      <c r="A8" t="s">
        <v>184</v>
      </c>
      <c r="C8" s="93"/>
      <c r="D8" s="6">
        <v>38</v>
      </c>
    </row>
    <row r="9" ht="12.75">
      <c r="C9" s="93"/>
    </row>
    <row r="10" ht="12.75">
      <c r="C10" s="93"/>
    </row>
    <row r="11" ht="12.75">
      <c r="C11" s="93"/>
    </row>
    <row r="12" ht="12.75">
      <c r="C12" s="93"/>
    </row>
    <row r="13" ht="12.75">
      <c r="C13" s="93"/>
    </row>
    <row r="14" spans="1:3" ht="12.75">
      <c r="A14" t="s">
        <v>187</v>
      </c>
      <c r="C14" s="93"/>
    </row>
    <row r="15" spans="9:11" ht="12.75">
      <c r="I15" s="256" t="s">
        <v>182</v>
      </c>
      <c r="J15" s="256"/>
      <c r="K15" t="s">
        <v>183</v>
      </c>
    </row>
    <row r="16" spans="5:13" ht="12.75">
      <c r="E16">
        <f>F2</f>
        <v>39</v>
      </c>
      <c r="F16" t="s">
        <v>174</v>
      </c>
      <c r="G16" t="s">
        <v>177</v>
      </c>
      <c r="H16" s="93">
        <f>D5</f>
        <v>0.85</v>
      </c>
      <c r="I16">
        <v>47.7</v>
      </c>
      <c r="J16" t="s">
        <v>178</v>
      </c>
      <c r="K16">
        <v>860</v>
      </c>
      <c r="L16">
        <f>I16*K16</f>
        <v>41022</v>
      </c>
      <c r="M16" t="s">
        <v>179</v>
      </c>
    </row>
    <row r="17" spans="2:13" ht="12.75">
      <c r="B17">
        <v>60000</v>
      </c>
      <c r="C17" t="s">
        <v>186</v>
      </c>
      <c r="E17" t="s">
        <v>185</v>
      </c>
      <c r="H17" s="93">
        <f>D6</f>
        <v>0.88</v>
      </c>
      <c r="I17">
        <v>11.2</v>
      </c>
      <c r="J17" t="s">
        <v>178</v>
      </c>
      <c r="K17">
        <v>860</v>
      </c>
      <c r="L17">
        <f>I17*K17</f>
        <v>9632</v>
      </c>
      <c r="M17" t="s">
        <v>179</v>
      </c>
    </row>
    <row r="18" spans="12:13" ht="18">
      <c r="L18" s="94">
        <f>SUM(L16:L17)</f>
        <v>50654</v>
      </c>
      <c r="M18" t="s">
        <v>179</v>
      </c>
    </row>
  </sheetData>
  <mergeCells count="3">
    <mergeCell ref="A2:C3"/>
    <mergeCell ref="I15:J15"/>
    <mergeCell ref="D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6" sqref="B6:C6"/>
    </sheetView>
  </sheetViews>
  <sheetFormatPr defaultColWidth="9.00390625" defaultRowHeight="12.75"/>
  <cols>
    <col min="5" max="5" width="10.125" style="0" customWidth="1"/>
    <col min="6" max="6" width="9.25390625" style="0" bestFit="1" customWidth="1"/>
  </cols>
  <sheetData>
    <row r="1" spans="1:7" ht="63.75">
      <c r="A1" s="96" t="s">
        <v>189</v>
      </c>
      <c r="B1" s="96" t="s">
        <v>190</v>
      </c>
      <c r="C1" s="96" t="s">
        <v>191</v>
      </c>
      <c r="D1" s="96" t="s">
        <v>192</v>
      </c>
      <c r="E1" s="96" t="s">
        <v>193</v>
      </c>
      <c r="F1" s="96" t="s">
        <v>194</v>
      </c>
      <c r="G1" s="96" t="s">
        <v>195</v>
      </c>
    </row>
    <row r="2" spans="1:7" ht="12.75">
      <c r="A2" s="6">
        <f>mellékletek!$Q$104</f>
        <v>174.2</v>
      </c>
      <c r="B2">
        <f>mellékletek!$N$25</f>
        <v>1.018</v>
      </c>
      <c r="C2">
        <v>34</v>
      </c>
      <c r="D2">
        <v>1.019</v>
      </c>
      <c r="E2">
        <v>0.345</v>
      </c>
      <c r="F2" s="97">
        <v>0.963</v>
      </c>
      <c r="G2" s="97">
        <v>0.037</v>
      </c>
    </row>
    <row r="5" spans="2:4" ht="12.75">
      <c r="B5" t="s">
        <v>196</v>
      </c>
      <c r="D5" t="s">
        <v>197</v>
      </c>
    </row>
    <row r="6" spans="2:5" ht="12.75">
      <c r="B6" s="200">
        <f>A2*1000*B2*C2*D2</f>
        <v>6143969.1976</v>
      </c>
      <c r="C6" s="200"/>
      <c r="D6" s="200">
        <f>A2*1000*B2*C2*F2*E2</f>
        <v>2003181.164244</v>
      </c>
      <c r="E6" s="200"/>
    </row>
    <row r="8" ht="12.75">
      <c r="C8" t="s">
        <v>198</v>
      </c>
    </row>
    <row r="9" spans="3:4" ht="12.75">
      <c r="C9" s="201">
        <f>B6-D6</f>
        <v>4140788.0333559997</v>
      </c>
      <c r="D9" s="257"/>
    </row>
    <row r="11" ht="12.75">
      <c r="C11" t="s">
        <v>199</v>
      </c>
    </row>
    <row r="12" spans="3:4" ht="12.75">
      <c r="C12" s="256">
        <f>C9/(A2*B2*C2)</f>
        <v>686.765</v>
      </c>
      <c r="D12" s="256"/>
    </row>
  </sheetData>
  <mergeCells count="4">
    <mergeCell ref="B6:C6"/>
    <mergeCell ref="D6:E6"/>
    <mergeCell ref="C9:D9"/>
    <mergeCell ref="C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Ingyenes Próbacsomag</dc:creator>
  <cp:keywords/>
  <dc:description/>
  <cp:lastModifiedBy>Polgármesteri Hivatal</cp:lastModifiedBy>
  <cp:lastPrinted>2006-11-09T09:04:59Z</cp:lastPrinted>
  <dcterms:created xsi:type="dcterms:W3CDTF">1997-07-22T05:31:32Z</dcterms:created>
  <dcterms:modified xsi:type="dcterms:W3CDTF">2006-11-13T13:57:35Z</dcterms:modified>
  <cp:category/>
  <cp:version/>
  <cp:contentType/>
  <cp:contentStatus/>
</cp:coreProperties>
</file>